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6030"/>
  </bookViews>
  <sheets>
    <sheet name="Sheet1" sheetId="1" r:id="rId1"/>
  </sheets>
  <definedNames>
    <definedName name="_xlnm.Print_Area" localSheetId="0">Sheet1!$B$5:$M$327</definedName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B239" i="1"/>
  <c r="F239"/>
  <c r="D240"/>
  <c r="I240"/>
  <c r="J240"/>
  <c r="K166"/>
  <c r="L166"/>
  <c r="K14"/>
  <c r="L14"/>
  <c r="K265"/>
  <c r="L264"/>
  <c r="E197"/>
  <c r="F197"/>
  <c r="B5"/>
  <c r="B6"/>
  <c r="K211"/>
  <c r="L211"/>
  <c r="L275"/>
  <c r="K275"/>
  <c r="K238"/>
  <c r="K240" s="1"/>
  <c r="L238"/>
  <c r="L240" s="1"/>
  <c r="K43"/>
  <c r="L43"/>
  <c r="K170"/>
  <c r="L170"/>
  <c r="L320"/>
  <c r="K320"/>
  <c r="L315"/>
  <c r="K315"/>
  <c r="L310"/>
  <c r="K310"/>
  <c r="L294"/>
  <c r="K294"/>
  <c r="L267"/>
  <c r="K267"/>
  <c r="L220"/>
  <c r="K220"/>
  <c r="K177"/>
  <c r="L175"/>
  <c r="K175"/>
  <c r="L142"/>
  <c r="K142"/>
  <c r="L94"/>
  <c r="L79"/>
  <c r="K79"/>
  <c r="L77"/>
  <c r="L75"/>
  <c r="K75"/>
  <c r="I75"/>
  <c r="L66"/>
  <c r="L17"/>
  <c r="K17"/>
  <c r="L13"/>
  <c r="K13"/>
  <c r="L9"/>
  <c r="K9"/>
  <c r="L8"/>
  <c r="K8"/>
  <c r="L6"/>
  <c r="K6"/>
  <c r="L321"/>
  <c r="L317"/>
  <c r="L306"/>
  <c r="L298"/>
  <c r="L286"/>
  <c r="L269"/>
  <c r="L265"/>
  <c r="L249"/>
  <c r="L245"/>
  <c r="L227"/>
  <c r="L198"/>
  <c r="L190"/>
  <c r="L147"/>
  <c r="L139"/>
  <c r="L210"/>
  <c r="L217" s="1"/>
  <c r="L218" s="1"/>
  <c r="L63"/>
  <c r="D321"/>
  <c r="G321"/>
  <c r="E321" s="1"/>
  <c r="C321" s="1"/>
  <c r="H321"/>
  <c r="I321"/>
  <c r="J321"/>
  <c r="K321"/>
  <c r="D317"/>
  <c r="I317"/>
  <c r="J317"/>
  <c r="K317"/>
  <c r="D306"/>
  <c r="G306"/>
  <c r="I306"/>
  <c r="J306"/>
  <c r="K306"/>
  <c r="D298"/>
  <c r="G298"/>
  <c r="I298"/>
  <c r="J298"/>
  <c r="K298"/>
  <c r="D286"/>
  <c r="I286"/>
  <c r="J286"/>
  <c r="D269"/>
  <c r="G269"/>
  <c r="I269"/>
  <c r="J269"/>
  <c r="K269"/>
  <c r="D265"/>
  <c r="I265"/>
  <c r="J265"/>
  <c r="D249"/>
  <c r="G249"/>
  <c r="I249"/>
  <c r="J249"/>
  <c r="K249"/>
  <c r="D245"/>
  <c r="I245"/>
  <c r="J245"/>
  <c r="K245"/>
  <c r="D227"/>
  <c r="I227"/>
  <c r="J227"/>
  <c r="K227"/>
  <c r="D217"/>
  <c r="I217"/>
  <c r="J217"/>
  <c r="K217"/>
  <c r="D198"/>
  <c r="G198"/>
  <c r="B198" s="1"/>
  <c r="I198"/>
  <c r="J198"/>
  <c r="K198"/>
  <c r="D190"/>
  <c r="G190"/>
  <c r="I190"/>
  <c r="J190"/>
  <c r="K190"/>
  <c r="D185"/>
  <c r="I185"/>
  <c r="J185"/>
  <c r="D180"/>
  <c r="G180"/>
  <c r="I180"/>
  <c r="J180"/>
  <c r="D163"/>
  <c r="I163"/>
  <c r="D147"/>
  <c r="G147"/>
  <c r="I147"/>
  <c r="J147"/>
  <c r="K147"/>
  <c r="D139"/>
  <c r="I139"/>
  <c r="J139"/>
  <c r="K139"/>
  <c r="D132"/>
  <c r="I132"/>
  <c r="J132"/>
  <c r="K132"/>
  <c r="D90"/>
  <c r="J90"/>
  <c r="D50"/>
  <c r="I50"/>
  <c r="J50"/>
  <c r="D21"/>
  <c r="G21"/>
  <c r="I21"/>
  <c r="J21"/>
  <c r="L172"/>
  <c r="K18"/>
  <c r="K21" s="1"/>
  <c r="L18"/>
  <c r="L21"/>
  <c r="K162"/>
  <c r="J162"/>
  <c r="K62"/>
  <c r="L62"/>
  <c r="L119"/>
  <c r="L132"/>
  <c r="L133" s="1"/>
  <c r="K84"/>
  <c r="I84"/>
  <c r="K86"/>
  <c r="L86"/>
  <c r="K169"/>
  <c r="L169"/>
  <c r="K41"/>
  <c r="K50"/>
  <c r="L41"/>
  <c r="L50"/>
  <c r="K56"/>
  <c r="K90"/>
  <c r="L56"/>
  <c r="L90"/>
  <c r="K165"/>
  <c r="K180"/>
  <c r="L165"/>
  <c r="L180" s="1"/>
  <c r="K278"/>
  <c r="K286" s="1"/>
  <c r="K322" s="1"/>
  <c r="K183"/>
  <c r="K185" s="1"/>
  <c r="L183"/>
  <c r="L185" s="1"/>
  <c r="K154"/>
  <c r="K163" s="1"/>
  <c r="L154"/>
  <c r="L150"/>
  <c r="L163"/>
  <c r="P141"/>
  <c r="E8"/>
  <c r="C8" s="1"/>
  <c r="E14"/>
  <c r="E18"/>
  <c r="C18"/>
  <c r="E9"/>
  <c r="E17"/>
  <c r="C17" s="1"/>
  <c r="E11"/>
  <c r="E6"/>
  <c r="C6"/>
  <c r="E16"/>
  <c r="E5"/>
  <c r="C5" s="1"/>
  <c r="E7"/>
  <c r="E12"/>
  <c r="C12"/>
  <c r="E13"/>
  <c r="E15"/>
  <c r="C15" s="1"/>
  <c r="E25"/>
  <c r="C25" s="1"/>
  <c r="E34"/>
  <c r="E23"/>
  <c r="C23"/>
  <c r="E41"/>
  <c r="E43"/>
  <c r="C43" s="1"/>
  <c r="E24"/>
  <c r="E35"/>
  <c r="C35"/>
  <c r="E48"/>
  <c r="E37"/>
  <c r="E26"/>
  <c r="C26"/>
  <c r="E29"/>
  <c r="E30"/>
  <c r="C30" s="1"/>
  <c r="E42"/>
  <c r="E28"/>
  <c r="E27"/>
  <c r="C27" s="1"/>
  <c r="E32"/>
  <c r="E36"/>
  <c r="C36"/>
  <c r="E38"/>
  <c r="C38"/>
  <c r="E39"/>
  <c r="E40"/>
  <c r="C40" s="1"/>
  <c r="E49"/>
  <c r="E61"/>
  <c r="E62"/>
  <c r="C62" s="1"/>
  <c r="E56"/>
  <c r="E75"/>
  <c r="C75"/>
  <c r="E79"/>
  <c r="E69"/>
  <c r="C69" s="1"/>
  <c r="E60"/>
  <c r="C60" s="1"/>
  <c r="E76"/>
  <c r="E64"/>
  <c r="E71"/>
  <c r="C71" s="1"/>
  <c r="E65"/>
  <c r="E66"/>
  <c r="C66"/>
  <c r="E78"/>
  <c r="E57"/>
  <c r="C57" s="1"/>
  <c r="E88"/>
  <c r="C88" s="1"/>
  <c r="E89"/>
  <c r="E72"/>
  <c r="C72"/>
  <c r="E87"/>
  <c r="E81"/>
  <c r="C81" s="1"/>
  <c r="E82"/>
  <c r="E109"/>
  <c r="C109"/>
  <c r="E102"/>
  <c r="E117"/>
  <c r="E98"/>
  <c r="C98"/>
  <c r="E92"/>
  <c r="C92"/>
  <c r="E101"/>
  <c r="E108"/>
  <c r="C108" s="1"/>
  <c r="E97"/>
  <c r="C97" s="1"/>
  <c r="E116"/>
  <c r="E110"/>
  <c r="E111"/>
  <c r="C111" s="1"/>
  <c r="E123"/>
  <c r="E120"/>
  <c r="E121"/>
  <c r="E122"/>
  <c r="C122"/>
  <c r="E128"/>
  <c r="C128"/>
  <c r="E125"/>
  <c r="E119"/>
  <c r="C119" s="1"/>
  <c r="E124"/>
  <c r="E135"/>
  <c r="C135"/>
  <c r="E137"/>
  <c r="E142"/>
  <c r="C142" s="1"/>
  <c r="E145"/>
  <c r="E144"/>
  <c r="C144"/>
  <c r="E146"/>
  <c r="E143"/>
  <c r="C143" s="1"/>
  <c r="E141"/>
  <c r="E147"/>
  <c r="C147"/>
  <c r="E154"/>
  <c r="C154"/>
  <c r="E153"/>
  <c r="E156"/>
  <c r="C156" s="1"/>
  <c r="E150"/>
  <c r="C150" s="1"/>
  <c r="E155"/>
  <c r="C155" s="1"/>
  <c r="E149"/>
  <c r="E161"/>
  <c r="E162"/>
  <c r="C162" s="1"/>
  <c r="E175"/>
  <c r="E166"/>
  <c r="C166"/>
  <c r="E165"/>
  <c r="E174"/>
  <c r="C174" s="1"/>
  <c r="E171"/>
  <c r="E169"/>
  <c r="C169"/>
  <c r="E170"/>
  <c r="E168"/>
  <c r="C168" s="1"/>
  <c r="E176"/>
  <c r="E177"/>
  <c r="E178"/>
  <c r="C178" s="1"/>
  <c r="E173"/>
  <c r="E180"/>
  <c r="C180"/>
  <c r="E183"/>
  <c r="C183"/>
  <c r="E182"/>
  <c r="E187"/>
  <c r="C187" s="1"/>
  <c r="E188"/>
  <c r="E189"/>
  <c r="C189"/>
  <c r="E192"/>
  <c r="E196"/>
  <c r="C196" s="1"/>
  <c r="E195"/>
  <c r="E193"/>
  <c r="C193"/>
  <c r="E194"/>
  <c r="E198"/>
  <c r="C198" s="1"/>
  <c r="E210"/>
  <c r="E202"/>
  <c r="C202"/>
  <c r="E208"/>
  <c r="E203"/>
  <c r="C203" s="1"/>
  <c r="E201"/>
  <c r="E204"/>
  <c r="E213"/>
  <c r="C213" s="1"/>
  <c r="E214"/>
  <c r="C214" s="1"/>
  <c r="E206"/>
  <c r="E215"/>
  <c r="C215"/>
  <c r="E220"/>
  <c r="C220"/>
  <c r="E225"/>
  <c r="E221"/>
  <c r="C221" s="1"/>
  <c r="E223"/>
  <c r="E235"/>
  <c r="E237"/>
  <c r="E231"/>
  <c r="E232"/>
  <c r="E243"/>
  <c r="E244"/>
  <c r="E247"/>
  <c r="E248"/>
  <c r="E249"/>
  <c r="E256"/>
  <c r="C256" s="1"/>
  <c r="E257"/>
  <c r="C257" s="1"/>
  <c r="E253"/>
  <c r="E258"/>
  <c r="C258"/>
  <c r="E263"/>
  <c r="E255"/>
  <c r="C255" s="1"/>
  <c r="E254"/>
  <c r="E252"/>
  <c r="E259"/>
  <c r="C259" s="1"/>
  <c r="E261"/>
  <c r="E267"/>
  <c r="E276"/>
  <c r="E274"/>
  <c r="E275"/>
  <c r="E278"/>
  <c r="E279"/>
  <c r="E272"/>
  <c r="E282"/>
  <c r="E285"/>
  <c r="E271"/>
  <c r="E292"/>
  <c r="E297"/>
  <c r="E294"/>
  <c r="E293"/>
  <c r="E290"/>
  <c r="E289"/>
  <c r="E301"/>
  <c r="E300"/>
  <c r="E302"/>
  <c r="E304"/>
  <c r="E303"/>
  <c r="E305"/>
  <c r="E314"/>
  <c r="E310"/>
  <c r="E315"/>
  <c r="E320"/>
  <c r="E19"/>
  <c r="C19"/>
  <c r="F34"/>
  <c r="F43"/>
  <c r="F46"/>
  <c r="F45"/>
  <c r="F29"/>
  <c r="F30"/>
  <c r="F32"/>
  <c r="F36"/>
  <c r="F38"/>
  <c r="F33"/>
  <c r="F61"/>
  <c r="F58"/>
  <c r="F77"/>
  <c r="F70"/>
  <c r="F68"/>
  <c r="F79"/>
  <c r="F53"/>
  <c r="F74"/>
  <c r="F52"/>
  <c r="F76"/>
  <c r="F83"/>
  <c r="F71"/>
  <c r="F78"/>
  <c r="F63"/>
  <c r="F73"/>
  <c r="F80"/>
  <c r="F55"/>
  <c r="F85"/>
  <c r="F57"/>
  <c r="F88"/>
  <c r="F72"/>
  <c r="F87"/>
  <c r="F82"/>
  <c r="F102"/>
  <c r="F105"/>
  <c r="F117"/>
  <c r="F98"/>
  <c r="F131"/>
  <c r="F92"/>
  <c r="F101"/>
  <c r="F114"/>
  <c r="F130"/>
  <c r="F108"/>
  <c r="F95"/>
  <c r="F97"/>
  <c r="F116"/>
  <c r="F104"/>
  <c r="F106"/>
  <c r="F111"/>
  <c r="F123"/>
  <c r="F107"/>
  <c r="F115"/>
  <c r="F113"/>
  <c r="F93"/>
  <c r="F112"/>
  <c r="F121"/>
  <c r="F127"/>
  <c r="F128"/>
  <c r="F125"/>
  <c r="F124"/>
  <c r="F126"/>
  <c r="F129"/>
  <c r="F136"/>
  <c r="F137"/>
  <c r="F138"/>
  <c r="F144"/>
  <c r="F143"/>
  <c r="F152"/>
  <c r="F155"/>
  <c r="F160"/>
  <c r="F161"/>
  <c r="F162"/>
  <c r="F157"/>
  <c r="F159"/>
  <c r="F151"/>
  <c r="F170"/>
  <c r="F168"/>
  <c r="F167"/>
  <c r="F177"/>
  <c r="F178"/>
  <c r="F182"/>
  <c r="F189"/>
  <c r="F195"/>
  <c r="F193"/>
  <c r="F202"/>
  <c r="F205"/>
  <c r="F216"/>
  <c r="F204"/>
  <c r="F212"/>
  <c r="F207"/>
  <c r="F214"/>
  <c r="F206"/>
  <c r="F222"/>
  <c r="F225"/>
  <c r="F226"/>
  <c r="F223"/>
  <c r="F229"/>
  <c r="F240" s="1"/>
  <c r="F236"/>
  <c r="F237"/>
  <c r="F234"/>
  <c r="F233"/>
  <c r="F231"/>
  <c r="F232"/>
  <c r="F230"/>
  <c r="F244"/>
  <c r="F248"/>
  <c r="F256"/>
  <c r="F251"/>
  <c r="F257"/>
  <c r="F258"/>
  <c r="F263"/>
  <c r="F260"/>
  <c r="F255"/>
  <c r="F254"/>
  <c r="F262"/>
  <c r="F259"/>
  <c r="F261"/>
  <c r="F276"/>
  <c r="F283"/>
  <c r="F285"/>
  <c r="F277"/>
  <c r="F281"/>
  <c r="F284"/>
  <c r="F295"/>
  <c r="F297"/>
  <c r="F296"/>
  <c r="F293"/>
  <c r="F291"/>
  <c r="F288"/>
  <c r="F290"/>
  <c r="F289"/>
  <c r="F301"/>
  <c r="F300"/>
  <c r="F302"/>
  <c r="F303"/>
  <c r="F314"/>
  <c r="F313"/>
  <c r="F308"/>
  <c r="F311"/>
  <c r="F312"/>
  <c r="F316"/>
  <c r="F319"/>
  <c r="F320"/>
  <c r="F19"/>
  <c r="B8"/>
  <c r="B14"/>
  <c r="B18"/>
  <c r="B9"/>
  <c r="B17"/>
  <c r="B11"/>
  <c r="B16"/>
  <c r="B7"/>
  <c r="B12"/>
  <c r="B13"/>
  <c r="B15"/>
  <c r="B10"/>
  <c r="B21"/>
  <c r="B25"/>
  <c r="B34"/>
  <c r="B23"/>
  <c r="B41"/>
  <c r="B43"/>
  <c r="B24"/>
  <c r="B35"/>
  <c r="B48"/>
  <c r="B46"/>
  <c r="B37"/>
  <c r="B44"/>
  <c r="B45"/>
  <c r="B26"/>
  <c r="B29"/>
  <c r="B30"/>
  <c r="B42"/>
  <c r="B47"/>
  <c r="B28"/>
  <c r="B27"/>
  <c r="B32"/>
  <c r="B36"/>
  <c r="B31"/>
  <c r="B38"/>
  <c r="B39"/>
  <c r="B40"/>
  <c r="B49"/>
  <c r="B84"/>
  <c r="B61"/>
  <c r="B77"/>
  <c r="B70"/>
  <c r="B62"/>
  <c r="B56"/>
  <c r="B75"/>
  <c r="B79"/>
  <c r="B53"/>
  <c r="B74"/>
  <c r="B69"/>
  <c r="B59"/>
  <c r="B60"/>
  <c r="B76"/>
  <c r="B83"/>
  <c r="B64"/>
  <c r="B71"/>
  <c r="B65"/>
  <c r="B66"/>
  <c r="B78"/>
  <c r="B63"/>
  <c r="B73"/>
  <c r="B80"/>
  <c r="B55"/>
  <c r="B67"/>
  <c r="B85"/>
  <c r="B57"/>
  <c r="B86"/>
  <c r="B88"/>
  <c r="B89"/>
  <c r="B72"/>
  <c r="B87"/>
  <c r="B81"/>
  <c r="B82"/>
  <c r="B109"/>
  <c r="B99"/>
  <c r="B96"/>
  <c r="B102"/>
  <c r="B105"/>
  <c r="B117"/>
  <c r="B98"/>
  <c r="B131"/>
  <c r="B92"/>
  <c r="B101"/>
  <c r="B114"/>
  <c r="B130"/>
  <c r="B108"/>
  <c r="B95"/>
  <c r="B97"/>
  <c r="B116"/>
  <c r="B103"/>
  <c r="B110"/>
  <c r="B111"/>
  <c r="B123"/>
  <c r="B118"/>
  <c r="B107"/>
  <c r="B113"/>
  <c r="B120"/>
  <c r="B112"/>
  <c r="B121"/>
  <c r="B122"/>
  <c r="B127"/>
  <c r="B128"/>
  <c r="B125"/>
  <c r="B119"/>
  <c r="B124"/>
  <c r="B126"/>
  <c r="B129"/>
  <c r="B135"/>
  <c r="B137"/>
  <c r="B142"/>
  <c r="B145"/>
  <c r="B144"/>
  <c r="B146"/>
  <c r="B143"/>
  <c r="B141"/>
  <c r="B147"/>
  <c r="B154"/>
  <c r="B153"/>
  <c r="B156"/>
  <c r="B152"/>
  <c r="B150"/>
  <c r="B158"/>
  <c r="B155"/>
  <c r="B149"/>
  <c r="B160"/>
  <c r="B161"/>
  <c r="B162"/>
  <c r="B159"/>
  <c r="B151"/>
  <c r="B172"/>
  <c r="B175"/>
  <c r="B166"/>
  <c r="B165"/>
  <c r="B174"/>
  <c r="B171"/>
  <c r="B169"/>
  <c r="B170"/>
  <c r="B168"/>
  <c r="B176"/>
  <c r="B167"/>
  <c r="B177"/>
  <c r="B178"/>
  <c r="B173"/>
  <c r="B180"/>
  <c r="B183"/>
  <c r="B182"/>
  <c r="B187"/>
  <c r="B188"/>
  <c r="B189"/>
  <c r="B190"/>
  <c r="B192"/>
  <c r="B196"/>
  <c r="B195"/>
  <c r="B193"/>
  <c r="B194"/>
  <c r="B211"/>
  <c r="B210"/>
  <c r="B202"/>
  <c r="B208"/>
  <c r="B203"/>
  <c r="B200"/>
  <c r="B205"/>
  <c r="B201"/>
  <c r="B216"/>
  <c r="B204"/>
  <c r="B213"/>
  <c r="B212"/>
  <c r="B214"/>
  <c r="B206"/>
  <c r="B215"/>
  <c r="B220"/>
  <c r="B224"/>
  <c r="B222"/>
  <c r="B225"/>
  <c r="B221"/>
  <c r="B223"/>
  <c r="B229"/>
  <c r="B236"/>
  <c r="B235"/>
  <c r="B237"/>
  <c r="B234"/>
  <c r="B233"/>
  <c r="B231"/>
  <c r="B232"/>
  <c r="B243"/>
  <c r="B244"/>
  <c r="B247"/>
  <c r="B248"/>
  <c r="B256"/>
  <c r="B251"/>
  <c r="B257"/>
  <c r="B253"/>
  <c r="B258"/>
  <c r="B263"/>
  <c r="B255"/>
  <c r="B254"/>
  <c r="B262"/>
  <c r="B252"/>
  <c r="B259"/>
  <c r="B261"/>
  <c r="B267"/>
  <c r="B268"/>
  <c r="B269"/>
  <c r="B276"/>
  <c r="B274"/>
  <c r="B275"/>
  <c r="B278"/>
  <c r="B279"/>
  <c r="B272"/>
  <c r="B282"/>
  <c r="B273"/>
  <c r="B285"/>
  <c r="B277"/>
  <c r="B281"/>
  <c r="B271"/>
  <c r="B295"/>
  <c r="B292"/>
  <c r="B297"/>
  <c r="B294"/>
  <c r="B296"/>
  <c r="B293"/>
  <c r="B291"/>
  <c r="B288"/>
  <c r="B290"/>
  <c r="B289"/>
  <c r="B298"/>
  <c r="B301"/>
  <c r="B300"/>
  <c r="B302"/>
  <c r="B304"/>
  <c r="B303"/>
  <c r="B305"/>
  <c r="B306"/>
  <c r="B314"/>
  <c r="B310"/>
  <c r="B309"/>
  <c r="B308"/>
  <c r="B311"/>
  <c r="B312"/>
  <c r="B315"/>
  <c r="B319"/>
  <c r="B320"/>
  <c r="C14"/>
  <c r="C9"/>
  <c r="C11"/>
  <c r="C16"/>
  <c r="C7"/>
  <c r="C13"/>
  <c r="C34"/>
  <c r="C41"/>
  <c r="C24"/>
  <c r="C48"/>
  <c r="C37"/>
  <c r="C29"/>
  <c r="C42"/>
  <c r="C28"/>
  <c r="C32"/>
  <c r="C39"/>
  <c r="C49"/>
  <c r="C61"/>
  <c r="C56"/>
  <c r="C79"/>
  <c r="C76"/>
  <c r="C64"/>
  <c r="C65"/>
  <c r="C78"/>
  <c r="C89"/>
  <c r="C87"/>
  <c r="C82"/>
  <c r="C102"/>
  <c r="C117"/>
  <c r="C101"/>
  <c r="C116"/>
  <c r="C110"/>
  <c r="C123"/>
  <c r="C120"/>
  <c r="C121"/>
  <c r="C125"/>
  <c r="C124"/>
  <c r="C137"/>
  <c r="C145"/>
  <c r="C146"/>
  <c r="C141"/>
  <c r="C153"/>
  <c r="C149"/>
  <c r="C161"/>
  <c r="C175"/>
  <c r="C165"/>
  <c r="C171"/>
  <c r="C170"/>
  <c r="C176"/>
  <c r="C177"/>
  <c r="C173"/>
  <c r="C182"/>
  <c r="C188"/>
  <c r="C192"/>
  <c r="C195"/>
  <c r="C194"/>
  <c r="C210"/>
  <c r="C208"/>
  <c r="C201"/>
  <c r="C204"/>
  <c r="C206"/>
  <c r="C225"/>
  <c r="C223"/>
  <c r="C235"/>
  <c r="C237"/>
  <c r="C231"/>
  <c r="C232"/>
  <c r="C243"/>
  <c r="C244"/>
  <c r="C247"/>
  <c r="C248"/>
  <c r="C253"/>
  <c r="C263"/>
  <c r="C252"/>
  <c r="C261"/>
  <c r="C267"/>
  <c r="C276"/>
  <c r="C274"/>
  <c r="C275"/>
  <c r="C278"/>
  <c r="C279"/>
  <c r="C272"/>
  <c r="C282"/>
  <c r="C285"/>
  <c r="C271"/>
  <c r="C292"/>
  <c r="C297"/>
  <c r="C294"/>
  <c r="C293"/>
  <c r="C290"/>
  <c r="C289"/>
  <c r="C301"/>
  <c r="C300"/>
  <c r="C302"/>
  <c r="C304"/>
  <c r="C303"/>
  <c r="C305"/>
  <c r="C314"/>
  <c r="C310"/>
  <c r="C315"/>
  <c r="C320"/>
  <c r="B19"/>
  <c r="H184"/>
  <c r="F184" s="1"/>
  <c r="H224"/>
  <c r="F224"/>
  <c r="H304"/>
  <c r="F304" s="1"/>
  <c r="H47"/>
  <c r="F47" s="1"/>
  <c r="F221"/>
  <c r="H8"/>
  <c r="F8" s="1"/>
  <c r="H14"/>
  <c r="F14"/>
  <c r="H18"/>
  <c r="F18" s="1"/>
  <c r="H9"/>
  <c r="F9"/>
  <c r="H17"/>
  <c r="F17" s="1"/>
  <c r="H11"/>
  <c r="F11" s="1"/>
  <c r="H6"/>
  <c r="F6"/>
  <c r="H16"/>
  <c r="F16" s="1"/>
  <c r="H5"/>
  <c r="F5"/>
  <c r="H7"/>
  <c r="F7" s="1"/>
  <c r="H12"/>
  <c r="F12"/>
  <c r="H13"/>
  <c r="F13" s="1"/>
  <c r="H15"/>
  <c r="F15"/>
  <c r="H25"/>
  <c r="F25" s="1"/>
  <c r="H23"/>
  <c r="F23" s="1"/>
  <c r="H41"/>
  <c r="F41" s="1"/>
  <c r="H24"/>
  <c r="F24" s="1"/>
  <c r="H35"/>
  <c r="F35"/>
  <c r="H48"/>
  <c r="F48"/>
  <c r="H37"/>
  <c r="F37"/>
  <c r="H44"/>
  <c r="F44"/>
  <c r="H26"/>
  <c r="F26"/>
  <c r="H42"/>
  <c r="F42" s="1"/>
  <c r="H28"/>
  <c r="F28"/>
  <c r="H27"/>
  <c r="F27" s="1"/>
  <c r="H31"/>
  <c r="F31"/>
  <c r="H39"/>
  <c r="F39" s="1"/>
  <c r="H40"/>
  <c r="F40" s="1"/>
  <c r="H49"/>
  <c r="F49"/>
  <c r="G33"/>
  <c r="G50" s="1"/>
  <c r="H84"/>
  <c r="F84"/>
  <c r="G58"/>
  <c r="H62"/>
  <c r="F62" s="1"/>
  <c r="H56"/>
  <c r="F56"/>
  <c r="G68"/>
  <c r="H75"/>
  <c r="F75" s="1"/>
  <c r="H54"/>
  <c r="G54" s="1"/>
  <c r="B54" s="1"/>
  <c r="H69"/>
  <c r="F69" s="1"/>
  <c r="G52"/>
  <c r="H59"/>
  <c r="F59"/>
  <c r="H60"/>
  <c r="F60" s="1"/>
  <c r="H64"/>
  <c r="F64" s="1"/>
  <c r="H65"/>
  <c r="F65"/>
  <c r="H66"/>
  <c r="F66" s="1"/>
  <c r="H67"/>
  <c r="F67" s="1"/>
  <c r="H89"/>
  <c r="F89" s="1"/>
  <c r="H81"/>
  <c r="F81" s="1"/>
  <c r="H109"/>
  <c r="F109"/>
  <c r="H99"/>
  <c r="F99"/>
  <c r="H96"/>
  <c r="F96" s="1"/>
  <c r="H100"/>
  <c r="F100" s="1"/>
  <c r="H103"/>
  <c r="F103"/>
  <c r="H94"/>
  <c r="G94" s="1"/>
  <c r="H110"/>
  <c r="F110" s="1"/>
  <c r="G104"/>
  <c r="G106"/>
  <c r="H118"/>
  <c r="F118"/>
  <c r="G115"/>
  <c r="H120"/>
  <c r="F120"/>
  <c r="G93"/>
  <c r="H122"/>
  <c r="F122"/>
  <c r="H119"/>
  <c r="F119"/>
  <c r="G136"/>
  <c r="H135"/>
  <c r="H139"/>
  <c r="F139" s="1"/>
  <c r="G138"/>
  <c r="H142"/>
  <c r="F142"/>
  <c r="H145"/>
  <c r="F145" s="1"/>
  <c r="H146"/>
  <c r="F146"/>
  <c r="H141"/>
  <c r="F141"/>
  <c r="H154"/>
  <c r="F154"/>
  <c r="H153"/>
  <c r="F153" s="1"/>
  <c r="H156"/>
  <c r="F156"/>
  <c r="H150"/>
  <c r="F150"/>
  <c r="H158"/>
  <c r="F158" s="1"/>
  <c r="H149"/>
  <c r="F149"/>
  <c r="G157"/>
  <c r="G163" s="1"/>
  <c r="E163" s="1"/>
  <c r="C163" s="1"/>
  <c r="H172"/>
  <c r="F172"/>
  <c r="H175"/>
  <c r="F175" s="1"/>
  <c r="H166"/>
  <c r="F166"/>
  <c r="H165"/>
  <c r="F165"/>
  <c r="H174"/>
  <c r="F174"/>
  <c r="H171"/>
  <c r="F171" s="1"/>
  <c r="H169"/>
  <c r="F169" s="1"/>
  <c r="H176"/>
  <c r="F176"/>
  <c r="H173"/>
  <c r="F173"/>
  <c r="H187"/>
  <c r="F187"/>
  <c r="H188"/>
  <c r="F188" s="1"/>
  <c r="H192"/>
  <c r="H196"/>
  <c r="F196" s="1"/>
  <c r="H194"/>
  <c r="F194" s="1"/>
  <c r="H211"/>
  <c r="F211"/>
  <c r="H210"/>
  <c r="F210" s="1"/>
  <c r="H208"/>
  <c r="F208"/>
  <c r="G209"/>
  <c r="H209"/>
  <c r="F209" s="1"/>
  <c r="H203"/>
  <c r="F203" s="1"/>
  <c r="H200"/>
  <c r="H201"/>
  <c r="F201" s="1"/>
  <c r="H213"/>
  <c r="F213"/>
  <c r="G207"/>
  <c r="H215"/>
  <c r="F215" s="1"/>
  <c r="H220"/>
  <c r="H227" s="1"/>
  <c r="F227" s="1"/>
  <c r="G226"/>
  <c r="G227" s="1"/>
  <c r="H235"/>
  <c r="H240" s="1"/>
  <c r="H238"/>
  <c r="G230"/>
  <c r="B230"/>
  <c r="H243"/>
  <c r="F243" s="1"/>
  <c r="H242"/>
  <c r="F242"/>
  <c r="H247"/>
  <c r="H249"/>
  <c r="F249" s="1"/>
  <c r="H253"/>
  <c r="F253" s="1"/>
  <c r="G260"/>
  <c r="G265" s="1"/>
  <c r="E265" s="1"/>
  <c r="H252"/>
  <c r="F252" s="1"/>
  <c r="H267"/>
  <c r="F267" s="1"/>
  <c r="H268"/>
  <c r="F268"/>
  <c r="H274"/>
  <c r="F274" s="1"/>
  <c r="H275"/>
  <c r="F275"/>
  <c r="H278"/>
  <c r="F278" s="1"/>
  <c r="H279"/>
  <c r="F279"/>
  <c r="H272"/>
  <c r="F272" s="1"/>
  <c r="H282"/>
  <c r="F282" s="1"/>
  <c r="H273"/>
  <c r="F273"/>
  <c r="G283"/>
  <c r="H280"/>
  <c r="F280"/>
  <c r="H271"/>
  <c r="G284"/>
  <c r="E284" s="1"/>
  <c r="C284" s="1"/>
  <c r="H292"/>
  <c r="F292" s="1"/>
  <c r="H294"/>
  <c r="F294" s="1"/>
  <c r="H305"/>
  <c r="H306"/>
  <c r="H310"/>
  <c r="F310"/>
  <c r="G313"/>
  <c r="H309"/>
  <c r="F309" s="1"/>
  <c r="H315"/>
  <c r="F315" s="1"/>
  <c r="G316"/>
  <c r="B283"/>
  <c r="B136"/>
  <c r="E68"/>
  <c r="C68"/>
  <c r="B260"/>
  <c r="B226"/>
  <c r="B106"/>
  <c r="B58"/>
  <c r="E138"/>
  <c r="C138"/>
  <c r="E106"/>
  <c r="C106"/>
  <c r="E157"/>
  <c r="C157"/>
  <c r="B52"/>
  <c r="B157"/>
  <c r="B115"/>
  <c r="G100"/>
  <c r="B33"/>
  <c r="B138"/>
  <c r="B68"/>
  <c r="B104"/>
  <c r="G184"/>
  <c r="G185"/>
  <c r="E185" s="1"/>
  <c r="C185"/>
  <c r="B209"/>
  <c r="B93"/>
  <c r="F238"/>
  <c r="F94"/>
  <c r="F54"/>
  <c r="E209"/>
  <c r="C209" s="1"/>
  <c r="G242"/>
  <c r="G245" s="1"/>
  <c r="B207"/>
  <c r="E184"/>
  <c r="C184" s="1"/>
  <c r="G280"/>
  <c r="G286" s="1"/>
  <c r="B284"/>
  <c r="E100"/>
  <c r="C100" s="1"/>
  <c r="C249"/>
  <c r="E21"/>
  <c r="C21"/>
  <c r="J133"/>
  <c r="J322"/>
  <c r="I218"/>
  <c r="E306"/>
  <c r="C306" s="1"/>
  <c r="L322"/>
  <c r="G317"/>
  <c r="H217"/>
  <c r="B100"/>
  <c r="B184"/>
  <c r="B316"/>
  <c r="H286"/>
  <c r="G217"/>
  <c r="E217" s="1"/>
  <c r="C217" s="1"/>
  <c r="H198"/>
  <c r="F198"/>
  <c r="F183"/>
  <c r="F86"/>
  <c r="E190"/>
  <c r="C190"/>
  <c r="B249"/>
  <c r="E298"/>
  <c r="C298" s="1"/>
  <c r="F271"/>
  <c r="F220"/>
  <c r="F200"/>
  <c r="F192"/>
  <c r="H147"/>
  <c r="F147" s="1"/>
  <c r="G139"/>
  <c r="D133"/>
  <c r="B265"/>
  <c r="C265"/>
  <c r="B317"/>
  <c r="E317"/>
  <c r="C317" s="1"/>
  <c r="E139"/>
  <c r="C139" s="1"/>
  <c r="B139"/>
  <c r="H317"/>
  <c r="F317" s="1"/>
  <c r="B313"/>
  <c r="F305"/>
  <c r="H298"/>
  <c r="F298"/>
  <c r="H269"/>
  <c r="F269"/>
  <c r="H265"/>
  <c r="F265"/>
  <c r="H245"/>
  <c r="F245"/>
  <c r="F235"/>
  <c r="E207"/>
  <c r="C207"/>
  <c r="H190"/>
  <c r="F190"/>
  <c r="H163"/>
  <c r="F163"/>
  <c r="F135"/>
  <c r="H132"/>
  <c r="F132" s="1"/>
  <c r="H50"/>
  <c r="F50" s="1"/>
  <c r="H185"/>
  <c r="F185" s="1"/>
  <c r="J163"/>
  <c r="J218" s="1"/>
  <c r="H180"/>
  <c r="H218"/>
  <c r="H90"/>
  <c r="F90"/>
  <c r="H21"/>
  <c r="F21"/>
  <c r="D218"/>
  <c r="E269"/>
  <c r="C269" s="1"/>
  <c r="F321"/>
  <c r="I322"/>
  <c r="E84"/>
  <c r="C84"/>
  <c r="I90"/>
  <c r="I133"/>
  <c r="F217"/>
  <c r="B280"/>
  <c r="F247"/>
  <c r="G238"/>
  <c r="B238" s="1"/>
  <c r="B321"/>
  <c r="D322"/>
  <c r="J324"/>
  <c r="K133"/>
  <c r="B217"/>
  <c r="B185"/>
  <c r="E286"/>
  <c r="C286" s="1"/>
  <c r="B286"/>
  <c r="F306"/>
  <c r="E227"/>
  <c r="C227" s="1"/>
  <c r="B227"/>
  <c r="B163"/>
  <c r="G132"/>
  <c r="E132" s="1"/>
  <c r="C132" s="1"/>
  <c r="G90"/>
  <c r="E90" s="1"/>
  <c r="C90" s="1"/>
  <c r="E54"/>
  <c r="C54" s="1"/>
  <c r="E245"/>
  <c r="C245" s="1"/>
  <c r="B245"/>
  <c r="B90"/>
  <c r="I324"/>
  <c r="H133"/>
  <c r="F180"/>
  <c r="D324"/>
  <c r="B50"/>
  <c r="E50"/>
  <c r="C50"/>
  <c r="F133"/>
  <c r="L324" l="1"/>
  <c r="G240"/>
  <c r="G133"/>
  <c r="B132"/>
  <c r="F286"/>
  <c r="B94"/>
  <c r="G218"/>
  <c r="H322"/>
  <c r="E238"/>
  <c r="C238" s="1"/>
  <c r="E242"/>
  <c r="C242" s="1"/>
  <c r="B242"/>
  <c r="E240"/>
  <c r="C240" s="1"/>
  <c r="K218"/>
  <c r="K324" s="1"/>
  <c r="H324" l="1"/>
  <c r="F324" s="1"/>
  <c r="F322"/>
  <c r="G322"/>
  <c r="B240"/>
  <c r="L326"/>
  <c r="E218"/>
  <c r="C218" s="1"/>
  <c r="B218"/>
  <c r="B133"/>
  <c r="E133"/>
  <c r="C133" s="1"/>
  <c r="F218"/>
  <c r="B322" l="1"/>
  <c r="E322"/>
  <c r="C322" s="1"/>
  <c r="G324"/>
  <c r="E324" l="1"/>
  <c r="C324" s="1"/>
  <c r="B324"/>
</calcChain>
</file>

<file path=xl/sharedStrings.xml><?xml version="1.0" encoding="utf-8"?>
<sst xmlns="http://schemas.openxmlformats.org/spreadsheetml/2006/main" count="909" uniqueCount="573">
  <si>
    <t>صافي الربح بعد الضريبة</t>
  </si>
  <si>
    <t>اســـــــم الشـــــــــــــركـــة</t>
  </si>
  <si>
    <t>البنك الاردني الكويتي</t>
  </si>
  <si>
    <t>البنك التجاري الأردني</t>
  </si>
  <si>
    <t>بنك الاسكان للتجارة والتمويل</t>
  </si>
  <si>
    <t>بنك المال الأردني</t>
  </si>
  <si>
    <t>بنك القاهرة عمان</t>
  </si>
  <si>
    <t>البنك العربي</t>
  </si>
  <si>
    <t xml:space="preserve"> بنك الاستثمار العربي الاردني</t>
  </si>
  <si>
    <t>بنك الإتحاد</t>
  </si>
  <si>
    <t>بنك المؤسسة العربية المصرفية/الاردن</t>
  </si>
  <si>
    <t>البنك الاردني للاستثمار والتمويل</t>
  </si>
  <si>
    <t>بنك سوسيته جنرال - الأردن</t>
  </si>
  <si>
    <t>بنك الاردن</t>
  </si>
  <si>
    <t>البنك  الاهلي الاردني</t>
  </si>
  <si>
    <t>الشرق الأوسط للتأمين</t>
  </si>
  <si>
    <t>النسر العربي للتأمين</t>
  </si>
  <si>
    <t>التأمين الاردنية</t>
  </si>
  <si>
    <t>التأمين العامة العربية</t>
  </si>
  <si>
    <t>دلتا للتأمين</t>
  </si>
  <si>
    <t>القدس للتأمين</t>
  </si>
  <si>
    <t>المتحدة للتأمين</t>
  </si>
  <si>
    <t>الاردنية الفرنسية للتأمين</t>
  </si>
  <si>
    <t>الاراضي المقدسة للتأمين</t>
  </si>
  <si>
    <t>اليرموك للتأمين</t>
  </si>
  <si>
    <t>جراسا للتأمين</t>
  </si>
  <si>
    <t>المنارة للتأمين</t>
  </si>
  <si>
    <t>الشرق العربي للتأمين</t>
  </si>
  <si>
    <t>الواحة للتأمين</t>
  </si>
  <si>
    <t>العرب للتأمين على الحياة والحوادث</t>
  </si>
  <si>
    <t>فيلادلفيا للتأمين</t>
  </si>
  <si>
    <t>الاتحاد العربي الدولي للتأمين</t>
  </si>
  <si>
    <t>التأمين الوطنية</t>
  </si>
  <si>
    <t>الاردن الدولية للتأمين</t>
  </si>
  <si>
    <t>المجموعة العربية الأوروبية للتأمين</t>
  </si>
  <si>
    <t>العربية الالمانية للتأمين</t>
  </si>
  <si>
    <t>التأمين الاسلامية</t>
  </si>
  <si>
    <t>الضامنون العرب</t>
  </si>
  <si>
    <t>المجموعة العربية الاردنية للتأمين</t>
  </si>
  <si>
    <t>البركة للتكافل</t>
  </si>
  <si>
    <t>المتوسط والخليج للتأمين-الأردن</t>
  </si>
  <si>
    <t>المحفظة الوطنية للاوراق المالية</t>
  </si>
  <si>
    <t>الاستثمارية القابضة للمغتربين الاردنيين</t>
  </si>
  <si>
    <t>الانماء للاستثمارات والتسهيلات المالية</t>
  </si>
  <si>
    <t>الثقة للاستثمارات الاردنية</t>
  </si>
  <si>
    <t>الضمان للاستثمار</t>
  </si>
  <si>
    <t>الاتحاد للاستثمارات المالية</t>
  </si>
  <si>
    <t>العربية للاستثمارات المالية</t>
  </si>
  <si>
    <t>الاردنية لضمان القروض</t>
  </si>
  <si>
    <t>المستثمرون العرب المتحدون</t>
  </si>
  <si>
    <t>الشرق العربي للاستثمارات المالية والاقتصادية</t>
  </si>
  <si>
    <t>الصقر للاستثمار والخدمات المالية</t>
  </si>
  <si>
    <t>الامين للاستثمار</t>
  </si>
  <si>
    <t>المتحدة للاستثمارات المالية</t>
  </si>
  <si>
    <t>الاردنية لاعادة تمويل الرهن العقاري</t>
  </si>
  <si>
    <t>الشرق العربي للتطوير والاستثمارات</t>
  </si>
  <si>
    <t>العالمية للوساطة والأسواق المالية</t>
  </si>
  <si>
    <t>بيت الاستثمار للخدمات المالية</t>
  </si>
  <si>
    <t>أموال انفست</t>
  </si>
  <si>
    <t>الأمل للاستثمارات المالية</t>
  </si>
  <si>
    <t>أوتاد للاستثمارات المالية والعقارية</t>
  </si>
  <si>
    <t>السنابل الدولية للاستثمارات الاسلامية (القابضة)</t>
  </si>
  <si>
    <t>البلاد للأوراق المالية والاستثمار</t>
  </si>
  <si>
    <t>الأولى للتمويل</t>
  </si>
  <si>
    <t>الأردنية للإدارة والاستشارات</t>
  </si>
  <si>
    <t>المستقبل العربية للاستثمار</t>
  </si>
  <si>
    <t>تهامة للاستثمارات المالية</t>
  </si>
  <si>
    <t>الأردن الأولى للاستثمار</t>
  </si>
  <si>
    <t>بيت المال للادخار والاستثمار للاسكان</t>
  </si>
  <si>
    <t>الشامخة للاستثمارات العقارية والمالية</t>
  </si>
  <si>
    <t>الأردن دبي للأملاك</t>
  </si>
  <si>
    <t>الموارد للتنمية والاستثمار</t>
  </si>
  <si>
    <t>الاتحاد لتطوير الاراضي</t>
  </si>
  <si>
    <t>التجمعات لخدمات التغذية والاسكان</t>
  </si>
  <si>
    <t>التجمعات الاستثمارية المتخصصة</t>
  </si>
  <si>
    <t>تطوير العقارات</t>
  </si>
  <si>
    <t>العرب للتنمية العقارية</t>
  </si>
  <si>
    <t>المحفظة العقارية الاستثمارية</t>
  </si>
  <si>
    <t>الشرق العربي للإستثمارات العقارية</t>
  </si>
  <si>
    <t>الانماء العربية للتجارة والاستثمارات العالمية</t>
  </si>
  <si>
    <t>العقارية الأردنية للتنمية</t>
  </si>
  <si>
    <t>عمد للاستثمار والتنمية العقارية</t>
  </si>
  <si>
    <t>الإحداثيات العقارية</t>
  </si>
  <si>
    <t>إعمار للتطوير والاستثمار العقاري</t>
  </si>
  <si>
    <t>الأردنية للتعمير المساهمة العامة القابضة</t>
  </si>
  <si>
    <t>ميثاق للاستثمارات العقارية</t>
  </si>
  <si>
    <t>المعاصرون للمشاريع الاسكانية</t>
  </si>
  <si>
    <t>زهرة الأردن للاستثمارات العقارية والفنادق</t>
  </si>
  <si>
    <t>الشرق الاوسط للاستثمارات المتعددة</t>
  </si>
  <si>
    <t>الكفاءة للاستثمارات العقارية</t>
  </si>
  <si>
    <t>اتحاد المستثمرون العرب للتطوير العقاري</t>
  </si>
  <si>
    <t>الأردن الدولية للاستثمار</t>
  </si>
  <si>
    <t>الديرة للاستثمار والتطوير العقاري</t>
  </si>
  <si>
    <t>القصور للمشاريع العقارية</t>
  </si>
  <si>
    <t>التحديت للاستثمارات العقارية</t>
  </si>
  <si>
    <t>أرض النمو للتطوير والاستثمار العقاري</t>
  </si>
  <si>
    <t>المهنية للاستثمارات العقارية والإسكان</t>
  </si>
  <si>
    <t>داماك للتطوير العقاري الأردنية</t>
  </si>
  <si>
    <t>المتكاملة لتطوير الاراضي والاستثمار</t>
  </si>
  <si>
    <t>مجمع الضليل الصناعي العقاري</t>
  </si>
  <si>
    <t>البلاد للخدمات الطبية</t>
  </si>
  <si>
    <t>المجموعة الاستشارية الاستثمارية</t>
  </si>
  <si>
    <t>الدولية للاستثمارات الطبية</t>
  </si>
  <si>
    <t>الزرقاء للتعليم والاستثمار</t>
  </si>
  <si>
    <t>العربية الدولية للتعليم والاستثمار</t>
  </si>
  <si>
    <t>مدارس الاتحاد</t>
  </si>
  <si>
    <t>الإسراء للتعليم والإستثمار</t>
  </si>
  <si>
    <t>البتراء للتعليم</t>
  </si>
  <si>
    <t>فيلادلفيا الدولية للاستثمارات التعليمية</t>
  </si>
  <si>
    <t>الفنادق والسياحة الاردنية</t>
  </si>
  <si>
    <t>العربية الدولية للفنادق</t>
  </si>
  <si>
    <t>الحمة المعدنية الاردنية</t>
  </si>
  <si>
    <t>التجمعات للمشاريع السياحية</t>
  </si>
  <si>
    <t>البحر المتوسط للاستثمارات السياحية</t>
  </si>
  <si>
    <t>زارة للاستثمار القابضة</t>
  </si>
  <si>
    <t>الشرق للمشاريع الاستثمارية</t>
  </si>
  <si>
    <t>الدولية للفنادق والاسواق التجارية</t>
  </si>
  <si>
    <t>عمان للتنمية والاستثمار</t>
  </si>
  <si>
    <t>الأردن لتطوير المشاريع السياحية</t>
  </si>
  <si>
    <t>وادي الشتا للاستثمارات السياحية</t>
  </si>
  <si>
    <t>الركائز للاستثمار</t>
  </si>
  <si>
    <t>الخطوط البحرية الوطنية الاردنية</t>
  </si>
  <si>
    <t>السلام الدولية للنقل والتجارة</t>
  </si>
  <si>
    <t>الثقة للنقل الدولي</t>
  </si>
  <si>
    <t>الموحدة للنقل والخدمات اللوجستية</t>
  </si>
  <si>
    <t>النقليات السياحة الاردنية /جت</t>
  </si>
  <si>
    <t>الاردنية للاستثمار والنقل السياحي / الفا</t>
  </si>
  <si>
    <t>المقايضة للنقل والاستثمار</t>
  </si>
  <si>
    <t>عالية -الخطوط الجوية الملكية الأردنية</t>
  </si>
  <si>
    <t>أكاديمية الطيران الملكية الأردنية</t>
  </si>
  <si>
    <t>مسافات للنقل المتخصص</t>
  </si>
  <si>
    <t>المتكاملة للنقل المتعدد</t>
  </si>
  <si>
    <t>رم للنقل السياحي المتخصص</t>
  </si>
  <si>
    <t xml:space="preserve"> البحرينية الأردنية للتقنية و الاتصالات</t>
  </si>
  <si>
    <t>الاتصالات الأردنية</t>
  </si>
  <si>
    <t>الفارس الوطنية للاستثمار والتصدير</t>
  </si>
  <si>
    <t>المؤسسة الصحفية الاردنية /الرأي</t>
  </si>
  <si>
    <t>الاردنية للصحافة والنشر /الدستور</t>
  </si>
  <si>
    <t>الطباعون العرب</t>
  </si>
  <si>
    <t>الكهرباء الاردنية</t>
  </si>
  <si>
    <t>كهرباء محافظة اربد</t>
  </si>
  <si>
    <t>توليد الكهرباء المركزية</t>
  </si>
  <si>
    <t>البترول الوطنية</t>
  </si>
  <si>
    <t>مصفاة البترول الأردنية /جوبترول</t>
  </si>
  <si>
    <t>الاسواق الحرة الاردنية</t>
  </si>
  <si>
    <t>المركز الاردني للتجارة الدولية</t>
  </si>
  <si>
    <t>التسهيلات التجارية الاردنية</t>
  </si>
  <si>
    <t>الأهلية للمشاريع</t>
  </si>
  <si>
    <t>المتخصصة للتجارة والاستثمارات</t>
  </si>
  <si>
    <t>الأردنية للاستثمارات المتخصصة</t>
  </si>
  <si>
    <t>تسويق الكفاءات الأردنية</t>
  </si>
  <si>
    <t>العامة الأردنية للصوامع والتموين</t>
  </si>
  <si>
    <t>بندار للتجارة والإستثمار</t>
  </si>
  <si>
    <t>درويش الخليلي و اولاده</t>
  </si>
  <si>
    <t>مجموعة أوفتك للاستثمار</t>
  </si>
  <si>
    <t>الجنوب للإلكترونيات</t>
  </si>
  <si>
    <t>نوبار للتجارة والاستثمار</t>
  </si>
  <si>
    <t>الجميل للاستثمارات العامة</t>
  </si>
  <si>
    <t>المتكاملة للتأجير التمويلي</t>
  </si>
  <si>
    <t>انجاز للتنمية والمشاريع المتعددة</t>
  </si>
  <si>
    <t>دار الدواء للتنمية والاستثمار</t>
  </si>
  <si>
    <t>المركز العربي للصناعات الدوائية</t>
  </si>
  <si>
    <t>الشرق الاوسط للصناعات الدوائية والكيماوية والمستلزمات الطبية</t>
  </si>
  <si>
    <t>الكندي للصناعات الدوائية</t>
  </si>
  <si>
    <t>الأردنية لإنتاج الأدوية</t>
  </si>
  <si>
    <t>الحياة للصناعات الدوائية</t>
  </si>
  <si>
    <t>الصناعية التجارية الزراعية / الانتاج</t>
  </si>
  <si>
    <t>المتصدرة للأعمال والمشاريع</t>
  </si>
  <si>
    <t>الصناعات الكيماوية الاردنية</t>
  </si>
  <si>
    <t>العالمية للصناعات الكيماوية</t>
  </si>
  <si>
    <t>الصناعات والكبريت الأردنية / جيمكو</t>
  </si>
  <si>
    <t>السلفوكيماويات الأردنية</t>
  </si>
  <si>
    <t>الوطنية لصناعة الكلورين</t>
  </si>
  <si>
    <t>الموارد الصناعية الأردنية</t>
  </si>
  <si>
    <t>المتكاملة للمشاريع المتعددة</t>
  </si>
  <si>
    <t>العربية لصناعة المبيدات والأدوية البيطرية</t>
  </si>
  <si>
    <t>العربية للمشاريع الاستثمارية</t>
  </si>
  <si>
    <t>مصانع الورق والكرتون الأردنية</t>
  </si>
  <si>
    <t>اللؤلؤة لصناعة الورق الصحي</t>
  </si>
  <si>
    <t>الاقبال للطباعة والتغليف</t>
  </si>
  <si>
    <t>الاتحاد للصناعات المتطورة</t>
  </si>
  <si>
    <t>الأردنية لتجهيز وتسويق الدواجن ومنتجاتها</t>
  </si>
  <si>
    <t>الاستثمارات العامة</t>
  </si>
  <si>
    <t>القرية للصناعات الغذائية والزيوت النباتية</t>
  </si>
  <si>
    <t>العالمية الحديثة للزيوت النباتية</t>
  </si>
  <si>
    <t>الوطنية للدواجن</t>
  </si>
  <si>
    <t>المصانع العربية الدولية للأغذية والاستثمار</t>
  </si>
  <si>
    <t>دار الغذاء</t>
  </si>
  <si>
    <t>أمانة للاستثمارات الزراعية والصناعية</t>
  </si>
  <si>
    <t>مصانع الزيوت النباتية اللأردنية</t>
  </si>
  <si>
    <t>الوطنية الأولى لصناعة وتكرير الزيوت النباتية</t>
  </si>
  <si>
    <t>عافية العالمية - الأردن</t>
  </si>
  <si>
    <t>الإقبال للاستثمار</t>
  </si>
  <si>
    <t>مصانع الاتحاد لانتاج التبغ والسجائر</t>
  </si>
  <si>
    <t>العامة للتعدين</t>
  </si>
  <si>
    <t>العربية لصناعة الالمنيوم/ارال</t>
  </si>
  <si>
    <t>الوطنية لصناعة الصلب</t>
  </si>
  <si>
    <t>مناجم الفوسفات الاردنية</t>
  </si>
  <si>
    <t>مصانع الاسمنت الأردنية</t>
  </si>
  <si>
    <t>البوتاس العربية</t>
  </si>
  <si>
    <t>الأردنية لصناعات الصوف الصخري</t>
  </si>
  <si>
    <t>حديد الأردن</t>
  </si>
  <si>
    <t>الوطنية لصناعات الالمنيوم</t>
  </si>
  <si>
    <t>الاستثمارات والصناعات المتكاملة</t>
  </si>
  <si>
    <t>الدولية لصناعات السيليكا</t>
  </si>
  <si>
    <t>شركة الترافرتين</t>
  </si>
  <si>
    <t>الاردنية لصناعة الأنابيب</t>
  </si>
  <si>
    <t>الجنوب لصناعة الفلاتر</t>
  </si>
  <si>
    <t>الأردنية للصناعات الخشبية / جوايكو</t>
  </si>
  <si>
    <t>الصناعات الهندسية العربية</t>
  </si>
  <si>
    <t>الباطون الجاهز والتوريدات الانشائية</t>
  </si>
  <si>
    <t>رم علاء الدين للصناعات الهندسية</t>
  </si>
  <si>
    <t>العربية لصناعة المواسير المعدنية</t>
  </si>
  <si>
    <t>القدس للصناعات الخرسانية</t>
  </si>
  <si>
    <t>العامة لصناعة وتسويق الخرسانة الخفيفة</t>
  </si>
  <si>
    <t>باطون لصناعة الطوب والبلاط المتداخل</t>
  </si>
  <si>
    <t>الوطنية لصناعة الكوابل والأسلاك الكهربائية</t>
  </si>
  <si>
    <t>الكابلات الأردنية الحديثة</t>
  </si>
  <si>
    <t>الوطنية للصناعات الهندسية المتعددة/ناميكو</t>
  </si>
  <si>
    <t>العربية للصناعات الكهربائية</t>
  </si>
  <si>
    <t>مجمع الشرق الاوسط للصناعات الهندسية والالكترونية والثقيلة</t>
  </si>
  <si>
    <t>الاردنية المركزية</t>
  </si>
  <si>
    <t>مجموعة العصر للاستثمار</t>
  </si>
  <si>
    <t>مصانع الآجواخ الاردنية</t>
  </si>
  <si>
    <t>الدباغة الاردنية</t>
  </si>
  <si>
    <t>عقاري للصناعات والاستثمارات العقارية</t>
  </si>
  <si>
    <t>الزي لصناعة الألبسة الجاهزة</t>
  </si>
  <si>
    <t>المتحدة التكاملية للصناعات المتعددة والاستثمار</t>
  </si>
  <si>
    <t>مصانع الخزف الأردنية</t>
  </si>
  <si>
    <t>الدولية للصناعات الخزفية</t>
  </si>
  <si>
    <t>JOIB</t>
  </si>
  <si>
    <t>JOKB</t>
  </si>
  <si>
    <t>JOGB</t>
  </si>
  <si>
    <t>THBK</t>
  </si>
  <si>
    <t>AJIB</t>
  </si>
  <si>
    <t>INDV</t>
  </si>
  <si>
    <t>UBSI</t>
  </si>
  <si>
    <t>ABCO</t>
  </si>
  <si>
    <t>JIFB</t>
  </si>
  <si>
    <t>EXFB</t>
  </si>
  <si>
    <t>MEIB</t>
  </si>
  <si>
    <t>CABK</t>
  </si>
  <si>
    <t>BOJX</t>
  </si>
  <si>
    <t>JONB</t>
  </si>
  <si>
    <t>ARBK</t>
  </si>
  <si>
    <t>MEIN</t>
  </si>
  <si>
    <t>AAIN</t>
  </si>
  <si>
    <t>JOIN</t>
  </si>
  <si>
    <t>GARI</t>
  </si>
  <si>
    <t>DICL</t>
  </si>
  <si>
    <t>JERY</t>
  </si>
  <si>
    <t>UNIN</t>
  </si>
  <si>
    <t>JOFR</t>
  </si>
  <si>
    <t>HOLI</t>
  </si>
  <si>
    <t>YINS</t>
  </si>
  <si>
    <t>GERA</t>
  </si>
  <si>
    <t>ARSI</t>
  </si>
  <si>
    <t>AALI</t>
  </si>
  <si>
    <t>OASI</t>
  </si>
  <si>
    <t>ARIN</t>
  </si>
  <si>
    <t>PHIN</t>
  </si>
  <si>
    <t>AIUI</t>
  </si>
  <si>
    <t>NAAI</t>
  </si>
  <si>
    <t>JIJC</t>
  </si>
  <si>
    <t>AMMI</t>
  </si>
  <si>
    <t>AGICC</t>
  </si>
  <si>
    <t>TIIC</t>
  </si>
  <si>
    <t>ARAS</t>
  </si>
  <si>
    <t>ARGR</t>
  </si>
  <si>
    <t>ARAI</t>
  </si>
  <si>
    <t>MDGF</t>
  </si>
  <si>
    <t>DRKM</t>
  </si>
  <si>
    <t>NPSC</t>
  </si>
  <si>
    <t>JEIH</t>
  </si>
  <si>
    <t>JOIT</t>
  </si>
  <si>
    <t>UINV</t>
  </si>
  <si>
    <t>AFIN</t>
  </si>
  <si>
    <t>JLGC</t>
  </si>
  <si>
    <t>UAIC</t>
  </si>
  <si>
    <t>AEIV</t>
  </si>
  <si>
    <t>FIFS</t>
  </si>
  <si>
    <t>AAFI</t>
  </si>
  <si>
    <t>UCFI</t>
  </si>
  <si>
    <t>JMRC</t>
  </si>
  <si>
    <t>IBFM</t>
  </si>
  <si>
    <t>INVH</t>
  </si>
  <si>
    <t>AMWL</t>
  </si>
  <si>
    <t>AMAL</t>
  </si>
  <si>
    <t>AWTD</t>
  </si>
  <si>
    <t>SHBC</t>
  </si>
  <si>
    <t>SANA</t>
  </si>
  <si>
    <t>BLAD</t>
  </si>
  <si>
    <t>FIFI</t>
  </si>
  <si>
    <t>JOMC</t>
  </si>
  <si>
    <t>FUTR</t>
  </si>
  <si>
    <t>SALM</t>
  </si>
  <si>
    <t>THMA</t>
  </si>
  <si>
    <t>FRST</t>
  </si>
  <si>
    <t>BAMB</t>
  </si>
  <si>
    <t>VFED</t>
  </si>
  <si>
    <t>REIN</t>
  </si>
  <si>
    <t>JOMA</t>
  </si>
  <si>
    <t>ULDC</t>
  </si>
  <si>
    <t>JNTH</t>
  </si>
  <si>
    <t>SPIC</t>
  </si>
  <si>
    <t>REDV</t>
  </si>
  <si>
    <t>ARED</t>
  </si>
  <si>
    <t>PETT</t>
  </si>
  <si>
    <t>IEAI</t>
  </si>
  <si>
    <t>REAL</t>
  </si>
  <si>
    <t>INMA</t>
  </si>
  <si>
    <t>JRCD</t>
  </si>
  <si>
    <t>AMAD</t>
  </si>
  <si>
    <t>IHCO</t>
  </si>
  <si>
    <t>EMAR</t>
  </si>
  <si>
    <t>TAMR</t>
  </si>
  <si>
    <t>MEET</t>
  </si>
  <si>
    <t>COHO</t>
  </si>
  <si>
    <t>ZAHI</t>
  </si>
  <si>
    <t>MEDI</t>
  </si>
  <si>
    <t>HIPR</t>
  </si>
  <si>
    <t>UNAI</t>
  </si>
  <si>
    <t>JIIG</t>
  </si>
  <si>
    <t>DERA</t>
  </si>
  <si>
    <t>PRED</t>
  </si>
  <si>
    <t>THDI</t>
  </si>
  <si>
    <t>ARDN</t>
  </si>
  <si>
    <t>PROF</t>
  </si>
  <si>
    <t>DMAC</t>
  </si>
  <si>
    <t>ATTA</t>
  </si>
  <si>
    <t>IDMC</t>
  </si>
  <si>
    <t>ABMS</t>
  </si>
  <si>
    <t>CICO</t>
  </si>
  <si>
    <t>ICMI</t>
  </si>
  <si>
    <t>ZEIC</t>
  </si>
  <si>
    <t>AIEI</t>
  </si>
  <si>
    <t>ITSC</t>
  </si>
  <si>
    <t>AIFE</t>
  </si>
  <si>
    <t>PEDC</t>
  </si>
  <si>
    <t>PIEC</t>
  </si>
  <si>
    <t>JOHT</t>
  </si>
  <si>
    <t>AIHO</t>
  </si>
  <si>
    <t>HIMM</t>
  </si>
  <si>
    <t>MERM</t>
  </si>
  <si>
    <t>MDTR</t>
  </si>
  <si>
    <t>ZARA</t>
  </si>
  <si>
    <t>AIPC</t>
  </si>
  <si>
    <t>MALL</t>
  </si>
  <si>
    <t>AMDI</t>
  </si>
  <si>
    <t>JPTD</t>
  </si>
  <si>
    <t>WIVA</t>
  </si>
  <si>
    <t>RICS</t>
  </si>
  <si>
    <t>SHIP</t>
  </si>
  <si>
    <t>SITT</t>
  </si>
  <si>
    <t>TRTR</t>
  </si>
  <si>
    <t>UNIF</t>
  </si>
  <si>
    <t>JETT</t>
  </si>
  <si>
    <t>ALFA</t>
  </si>
  <si>
    <t>NAQL</t>
  </si>
  <si>
    <t>RJAL</t>
  </si>
  <si>
    <t>MSFT</t>
  </si>
  <si>
    <t>ABUS</t>
  </si>
  <si>
    <t>RUMM</t>
  </si>
  <si>
    <t>FTGR</t>
  </si>
  <si>
    <t>JTEL</t>
  </si>
  <si>
    <t>CEBC</t>
  </si>
  <si>
    <t>PRES</t>
  </si>
  <si>
    <t>JOPP</t>
  </si>
  <si>
    <t>APRW</t>
  </si>
  <si>
    <t>JOEP</t>
  </si>
  <si>
    <t>IREL</t>
  </si>
  <si>
    <t>NAPT</t>
  </si>
  <si>
    <t>JOPT</t>
  </si>
  <si>
    <t>JDFS</t>
  </si>
  <si>
    <t>JITC</t>
  </si>
  <si>
    <t>JOTF</t>
  </si>
  <si>
    <t>ABLA</t>
  </si>
  <si>
    <t>SPTI</t>
  </si>
  <si>
    <t>SIJC</t>
  </si>
  <si>
    <t>BIND</t>
  </si>
  <si>
    <t>DKHS</t>
  </si>
  <si>
    <t>BDIN</t>
  </si>
  <si>
    <t>SECO</t>
  </si>
  <si>
    <t>NOTI</t>
  </si>
  <si>
    <t>JMIL</t>
  </si>
  <si>
    <t>LIPO</t>
  </si>
  <si>
    <t>DADI</t>
  </si>
  <si>
    <t>APHC</t>
  </si>
  <si>
    <t>MPHA</t>
  </si>
  <si>
    <t>JPHM</t>
  </si>
  <si>
    <t>HPIC</t>
  </si>
  <si>
    <t>ICAG</t>
  </si>
  <si>
    <t>ACDT</t>
  </si>
  <si>
    <t>JOIC</t>
  </si>
  <si>
    <t>UNIC</t>
  </si>
  <si>
    <t>INMJ</t>
  </si>
  <si>
    <t>JOSL</t>
  </si>
  <si>
    <t>NATC</t>
  </si>
  <si>
    <t>JOIR</t>
  </si>
  <si>
    <t>INOH</t>
  </si>
  <si>
    <t>MBED</t>
  </si>
  <si>
    <t>APCT</t>
  </si>
  <si>
    <t>JOPC</t>
  </si>
  <si>
    <t>PERL</t>
  </si>
  <si>
    <t>EKPC</t>
  </si>
  <si>
    <t>UADI</t>
  </si>
  <si>
    <t>JPPC</t>
  </si>
  <si>
    <t>JODA</t>
  </si>
  <si>
    <t>GENI</t>
  </si>
  <si>
    <t>UCVO</t>
  </si>
  <si>
    <t>UMIC</t>
  </si>
  <si>
    <t>NATP</t>
  </si>
  <si>
    <t>AIFF</t>
  </si>
  <si>
    <t>NDAR</t>
  </si>
  <si>
    <t>AMAN</t>
  </si>
  <si>
    <t>JVOI</t>
  </si>
  <si>
    <t>FNVO</t>
  </si>
  <si>
    <t>AICG</t>
  </si>
  <si>
    <t>ITCC</t>
  </si>
  <si>
    <t>UTOB</t>
  </si>
  <si>
    <t>GENM</t>
  </si>
  <si>
    <t>AALU</t>
  </si>
  <si>
    <t>NAST</t>
  </si>
  <si>
    <t>JOPH</t>
  </si>
  <si>
    <t>JOCM</t>
  </si>
  <si>
    <t>APOT</t>
  </si>
  <si>
    <t>JOWL</t>
  </si>
  <si>
    <t>JOST</t>
  </si>
  <si>
    <t>NATA</t>
  </si>
  <si>
    <t>INTI</t>
  </si>
  <si>
    <t>SLCA</t>
  </si>
  <si>
    <t>TRAV</t>
  </si>
  <si>
    <t>JOPI</t>
  </si>
  <si>
    <t>AJFM</t>
  </si>
  <si>
    <t>WOOD</t>
  </si>
  <si>
    <t>AREN</t>
  </si>
  <si>
    <t>RMCC</t>
  </si>
  <si>
    <t>IENG</t>
  </si>
  <si>
    <t>ASPMM</t>
  </si>
  <si>
    <t>AQRM</t>
  </si>
  <si>
    <t>GLCI</t>
  </si>
  <si>
    <t>BLOK</t>
  </si>
  <si>
    <t>WIRE</t>
  </si>
  <si>
    <t>NMCO</t>
  </si>
  <si>
    <t>AEIN</t>
  </si>
  <si>
    <t>MECE</t>
  </si>
  <si>
    <t>JOCE</t>
  </si>
  <si>
    <t>CEIG</t>
  </si>
  <si>
    <t>JOWM</t>
  </si>
  <si>
    <t>JOTN</t>
  </si>
  <si>
    <t>WOOL</t>
  </si>
  <si>
    <t>ELZA</t>
  </si>
  <si>
    <t>UNTG</t>
  </si>
  <si>
    <t>JOCF</t>
  </si>
  <si>
    <t>ICER</t>
  </si>
  <si>
    <t>المستثمرون والشرق العربي للاستثمارات الصناعية والعقارية</t>
  </si>
  <si>
    <t>الرؤية للاستثمار</t>
  </si>
  <si>
    <t>الألبان الأردنية</t>
  </si>
  <si>
    <t>البنك الاسلامي الأردني</t>
  </si>
  <si>
    <t>مصانع الكابلات المتحدة</t>
  </si>
  <si>
    <t>الشركة المتحدة لصناعة الحديد والصلب</t>
  </si>
  <si>
    <t>UCIC</t>
  </si>
  <si>
    <t xml:space="preserve"> </t>
  </si>
  <si>
    <t>الشراع للتطوير العقاري والاستثمارات</t>
  </si>
  <si>
    <t>شيركو للأوراق المالية</t>
  </si>
  <si>
    <t>AMLK</t>
  </si>
  <si>
    <t>دارات</t>
  </si>
  <si>
    <t>DARA</t>
  </si>
  <si>
    <t>FINS</t>
  </si>
  <si>
    <t>الاولى للتأمين</t>
  </si>
  <si>
    <t>المجموعة المتحدة للنقل البري</t>
  </si>
  <si>
    <t>أبعاد الاردن والامارات للاستثمار التجاري</t>
  </si>
  <si>
    <t>الفاتحون العرب للصناعة والتجارة</t>
  </si>
  <si>
    <t>FATI</t>
  </si>
  <si>
    <t>UGLT</t>
  </si>
  <si>
    <t>الانتقائية للاستثمار والتطوير العقاري</t>
  </si>
  <si>
    <t>ENTK</t>
  </si>
  <si>
    <t>حدائق بابل المعلقة للاستتثمار</t>
  </si>
  <si>
    <t>KAFA</t>
  </si>
  <si>
    <t>الكفاءة للاستثمارات المالية والاقتصادية</t>
  </si>
  <si>
    <t>أملاك للتمويل</t>
  </si>
  <si>
    <t>آفاق للطاقة</t>
  </si>
  <si>
    <t>MANE</t>
  </si>
  <si>
    <t>الألبسة الأردنية</t>
  </si>
  <si>
    <t>IPCH</t>
  </si>
  <si>
    <t>آفاق للاستثمار والتطوير العقاري</t>
  </si>
  <si>
    <t>MANR</t>
  </si>
  <si>
    <t>سبائك</t>
  </si>
  <si>
    <t>SABK</t>
  </si>
  <si>
    <t>البطاقات العالمية</t>
  </si>
  <si>
    <t>CARD</t>
  </si>
  <si>
    <t>AMWJ</t>
  </si>
  <si>
    <t>أمواج العقارية</t>
  </si>
  <si>
    <t>فيلادلفيا لصناعة الادوية</t>
  </si>
  <si>
    <t>MANS</t>
  </si>
  <si>
    <t>مستشفى ابن الهيثم</t>
  </si>
  <si>
    <t>اتحاد النساجون العرب</t>
  </si>
  <si>
    <t>JNCC</t>
  </si>
  <si>
    <t xml:space="preserve">العصرية للصناعات الغذائية والزيوت النباتية </t>
  </si>
  <si>
    <t>MFID</t>
  </si>
  <si>
    <t>LEAS</t>
  </si>
  <si>
    <t xml:space="preserve">صافي الربح قبل الضريبة </t>
  </si>
  <si>
    <t>UGHI</t>
  </si>
  <si>
    <t>المجموعة المتحدة القابضة</t>
  </si>
  <si>
    <t>الإسراء للاستثمار والتمويل الإسلامي</t>
  </si>
  <si>
    <t>ISRA</t>
  </si>
  <si>
    <t>MSKN</t>
  </si>
  <si>
    <t>AMON</t>
  </si>
  <si>
    <t>مساكن الأردن لتطوير الأراضي والمشاريع الصناعية</t>
  </si>
  <si>
    <t>عمون الدولية للاستثمارات المتعددة</t>
  </si>
  <si>
    <t>النموذجية للمطاعم</t>
  </si>
  <si>
    <t>سرى للتنمية والاستثمار</t>
  </si>
  <si>
    <t>FOOD</t>
  </si>
  <si>
    <t>SURA</t>
  </si>
  <si>
    <t>JOSE</t>
  </si>
  <si>
    <t>الوطنية لانتاج النفط والطاقة الكهربائية من الصخر الزيتي</t>
  </si>
  <si>
    <t>JMCO</t>
  </si>
  <si>
    <t>رخام الأردن</t>
  </si>
  <si>
    <t>ARWU</t>
  </si>
  <si>
    <t>CJCC</t>
  </si>
  <si>
    <t>بنك الاردن دبي الاسلامي</t>
  </si>
  <si>
    <t>JEDI</t>
  </si>
  <si>
    <t>صافي الربح بعد الضريبة للنصف الاول</t>
  </si>
  <si>
    <t>صافي الربح  قبل الضريبة للنصف الاول</t>
  </si>
  <si>
    <t xml:space="preserve">نسبة الـ   P/E    </t>
  </si>
  <si>
    <t>لاخر 12 شهر</t>
  </si>
  <si>
    <t>P/E</t>
  </si>
  <si>
    <t>البيانات المالية النصف السنوية للشركات المساهمة العامة للعامين 2010 و 2009</t>
  </si>
  <si>
    <t>لعام 2009</t>
  </si>
  <si>
    <t>AL-ZARQA EDUCATIONAL &amp; INVERTMENT</t>
  </si>
  <si>
    <t>NA</t>
  </si>
  <si>
    <t>البنك العربي الاسلامي الدولي</t>
  </si>
  <si>
    <t>TRUK</t>
  </si>
  <si>
    <t>العبور للشحن والنقل</t>
  </si>
  <si>
    <t>-</t>
  </si>
  <si>
    <t>توزيع الكهرباء المساهمة العامة</t>
  </si>
  <si>
    <t>PHIL</t>
  </si>
  <si>
    <t>مجموع البنوك</t>
  </si>
  <si>
    <t>مجموع التأمين</t>
  </si>
  <si>
    <t>مجموع الخدمات المالية المتنوعة</t>
  </si>
  <si>
    <t>مجموع العقارات</t>
  </si>
  <si>
    <t>مجموع القطاع المالي</t>
  </si>
  <si>
    <t>الخدمات  الطبية</t>
  </si>
  <si>
    <t>الخدمات التعليمية</t>
  </si>
  <si>
    <t>قطاع الفنادق والسياحة</t>
  </si>
  <si>
    <t>قطاع النقل</t>
  </si>
  <si>
    <t>قطاع الاتصالات</t>
  </si>
  <si>
    <t>قطاع الاعلام</t>
  </si>
  <si>
    <t>الطاقة والمنافع</t>
  </si>
  <si>
    <t>الخدمات التجارية</t>
  </si>
  <si>
    <t xml:space="preserve">مجموع الخدمات </t>
  </si>
  <si>
    <t>الادوية والصناعات والطبية</t>
  </si>
  <si>
    <t xml:space="preserve">الصناعات الكيماوية </t>
  </si>
  <si>
    <t>صناعات الورق والكرتون</t>
  </si>
  <si>
    <t>الطباعة والتغليف</t>
  </si>
  <si>
    <t>الاغذية والمشروبات</t>
  </si>
  <si>
    <t>التبغ والسجائر</t>
  </si>
  <si>
    <t>الصناعات الهندسية والانشائية</t>
  </si>
  <si>
    <t>الصناعات الاستخراجية والتعدينية</t>
  </si>
  <si>
    <t>الصناعات الكهربائية</t>
  </si>
  <si>
    <t>صناعات الملابس والجلود والنسيج</t>
  </si>
  <si>
    <t>الصناعات الزجاجية والخزفية</t>
  </si>
  <si>
    <t>مجموع قطاع الصناعة</t>
  </si>
  <si>
    <t>المجموع الكلي</t>
  </si>
  <si>
    <t>(2010/6/30 -2009/7/1)َ</t>
  </si>
  <si>
    <t>داركم للاستثمار</t>
  </si>
  <si>
    <t>N</t>
  </si>
  <si>
    <t>النمو</t>
  </si>
  <si>
    <t>القيمة السوقية كما في             2010/6/30</t>
  </si>
  <si>
    <t>الربح بعد الضريبة               لاخر 12 شهر</t>
  </si>
  <si>
    <t>الربح قبل الضريبة              لاخر 12 شهر</t>
  </si>
  <si>
    <t>سنيورة للصناعات الغذائية</t>
  </si>
  <si>
    <t>الصناعات البتروكيماوية الوسيطة</t>
  </si>
</sst>
</file>

<file path=xl/styles.xml><?xml version="1.0" encoding="utf-8"?>
<styleSheet xmlns="http://schemas.openxmlformats.org/spreadsheetml/2006/main">
  <numFmts count="4">
    <numFmt numFmtId="164" formatCode="#,##0_-;[Red]\(#,##0\)"/>
    <numFmt numFmtId="165" formatCode="0.0%"/>
    <numFmt numFmtId="166" formatCode="0.000"/>
    <numFmt numFmtId="167" formatCode="#,##0.000_-"/>
  </numFmts>
  <fonts count="16">
    <font>
      <sz val="10"/>
      <name val="Arial"/>
      <charset val="178"/>
    </font>
    <font>
      <sz val="10"/>
      <color indexed="62"/>
      <name val="Arial"/>
      <family val="2"/>
    </font>
    <font>
      <b/>
      <sz val="16"/>
      <color indexed="62"/>
      <name val="Times New Roman"/>
      <family val="1"/>
    </font>
    <font>
      <b/>
      <sz val="10"/>
      <color indexed="62"/>
      <name val="Arial"/>
      <family val="2"/>
    </font>
    <font>
      <b/>
      <sz val="14"/>
      <color indexed="62"/>
      <name val="Times New Roman"/>
      <family val="1"/>
    </font>
    <font>
      <sz val="14"/>
      <color indexed="62"/>
      <name val="Times New Roman"/>
      <family val="1"/>
    </font>
    <font>
      <sz val="14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8"/>
      <color indexed="62"/>
      <name val="Arial"/>
      <family val="2"/>
    </font>
    <font>
      <b/>
      <sz val="10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166" fontId="2" fillId="0" borderId="2" xfId="0" applyNumberFormat="1" applyFont="1" applyFill="1" applyBorder="1" applyAlignment="1">
      <alignment horizontal="centerContinuous" vertical="center"/>
    </xf>
    <xf numFmtId="166" fontId="2" fillId="0" borderId="4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/>
    </xf>
    <xf numFmtId="0" fontId="6" fillId="0" borderId="0" xfId="0" applyFont="1" applyFill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justify" vertical="center"/>
    </xf>
    <xf numFmtId="166" fontId="2" fillId="0" borderId="1" xfId="0" applyNumberFormat="1" applyFont="1" applyFill="1" applyBorder="1" applyAlignment="1">
      <alignment horizontal="centerContinuous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" fontId="13" fillId="0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right"/>
    </xf>
    <xf numFmtId="0" fontId="13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" fontId="15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3" fontId="14" fillId="0" borderId="9" xfId="0" applyNumberFormat="1" applyFont="1" applyFill="1" applyBorder="1" applyAlignment="1">
      <alignment horizontal="right"/>
    </xf>
    <xf numFmtId="0" fontId="15" fillId="0" borderId="9" xfId="0" applyNumberFormat="1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horizontal="center"/>
    </xf>
    <xf numFmtId="3" fontId="13" fillId="0" borderId="10" xfId="0" applyNumberFormat="1" applyFont="1" applyFill="1" applyBorder="1" applyAlignment="1">
      <alignment horizontal="right"/>
    </xf>
    <xf numFmtId="0" fontId="4" fillId="0" borderId="9" xfId="0" applyNumberFormat="1" applyFont="1" applyFill="1" applyBorder="1" applyAlignment="1">
      <alignment horizontal="right" vertical="center"/>
    </xf>
    <xf numFmtId="4" fontId="15" fillId="0" borderId="2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9" fontId="15" fillId="0" borderId="2" xfId="0" applyNumberFormat="1" applyFont="1" applyFill="1" applyBorder="1" applyAlignment="1">
      <alignment horizontal="center"/>
    </xf>
    <xf numFmtId="165" fontId="15" fillId="0" borderId="3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Continuous" vertical="center"/>
    </xf>
    <xf numFmtId="167" fontId="2" fillId="0" borderId="10" xfId="0" applyNumberFormat="1" applyFont="1" applyFill="1" applyBorder="1" applyAlignment="1">
      <alignment horizontal="center" vertical="center"/>
    </xf>
    <xf numFmtId="166" fontId="2" fillId="0" borderId="9" xfId="0" applyNumberFormat="1" applyFont="1" applyFill="1" applyBorder="1" applyAlignment="1">
      <alignment horizontal="justify" vertical="center"/>
    </xf>
    <xf numFmtId="166" fontId="2" fillId="0" borderId="4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6"/>
  <sheetViews>
    <sheetView tabSelected="1" topLeftCell="E1" workbookViewId="0">
      <pane ySplit="4" topLeftCell="A303" activePane="bottomLeft" state="frozen"/>
      <selection pane="bottomLeft" activeCell="I46" sqref="I46"/>
    </sheetView>
  </sheetViews>
  <sheetFormatPr defaultRowHeight="18"/>
  <cols>
    <col min="1" max="1" width="9.140625" style="12"/>
    <col min="2" max="2" width="12.5703125" style="13" bestFit="1" customWidth="1"/>
    <col min="3" max="3" width="19" style="14" customWidth="1"/>
    <col min="4" max="4" width="26" style="14" customWidth="1"/>
    <col min="5" max="6" width="23.7109375" style="14" customWidth="1"/>
    <col min="7" max="7" width="32.28515625" style="14" hidden="1" customWidth="1"/>
    <col min="8" max="8" width="38.7109375" style="14" hidden="1" customWidth="1"/>
    <col min="9" max="10" width="18.7109375" style="14" customWidth="1"/>
    <col min="11" max="12" width="20.7109375" style="14" customWidth="1"/>
    <col min="13" max="13" width="49.42578125" style="6" customWidth="1"/>
    <col min="14" max="14" width="10.140625" style="15" bestFit="1" customWidth="1"/>
    <col min="15" max="15" width="9.140625" style="15"/>
    <col min="16" max="16" width="15.85546875" style="14" customWidth="1"/>
    <col min="17" max="17" width="9.140625" style="42"/>
    <col min="18" max="18" width="69.5703125" style="43" bestFit="1" customWidth="1"/>
    <col min="19" max="19" width="18.42578125" style="44" customWidth="1"/>
    <col min="20" max="20" width="9.140625" style="14"/>
    <col min="21" max="21" width="47.85546875" style="14" bestFit="1" customWidth="1"/>
    <col min="22" max="22" width="9.140625" style="14"/>
    <col min="23" max="23" width="10" style="14" bestFit="1" customWidth="1"/>
    <col min="24" max="16384" width="9.140625" style="14"/>
  </cols>
  <sheetData>
    <row r="1" spans="1:15" s="14" customFormat="1" ht="30" customHeight="1">
      <c r="A1" s="12"/>
      <c r="B1" s="64" t="s">
        <v>527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5"/>
      <c r="O1" s="15"/>
    </row>
    <row r="2" spans="1:15" s="14" customFormat="1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1"/>
      <c r="N2" s="15"/>
      <c r="O2" s="15"/>
    </row>
    <row r="3" spans="1:15" s="18" customFormat="1" ht="40.5" customHeight="1">
      <c r="A3" s="16"/>
      <c r="B3" s="55" t="s">
        <v>526</v>
      </c>
      <c r="C3" s="9" t="s">
        <v>524</v>
      </c>
      <c r="D3" s="8" t="s">
        <v>568</v>
      </c>
      <c r="E3" s="57" t="s">
        <v>569</v>
      </c>
      <c r="F3" s="57" t="s">
        <v>570</v>
      </c>
      <c r="G3" s="1" t="s">
        <v>0</v>
      </c>
      <c r="H3" s="2" t="s">
        <v>501</v>
      </c>
      <c r="I3" s="58" t="s">
        <v>522</v>
      </c>
      <c r="J3" s="59"/>
      <c r="K3" s="62" t="s">
        <v>523</v>
      </c>
      <c r="L3" s="63"/>
      <c r="M3" s="7" t="s">
        <v>1</v>
      </c>
      <c r="N3" s="17"/>
      <c r="O3" s="17"/>
    </row>
    <row r="4" spans="1:15" s="21" customFormat="1" ht="20.25">
      <c r="A4" s="12"/>
      <c r="B4" s="56" t="s">
        <v>528</v>
      </c>
      <c r="C4" s="10" t="s">
        <v>525</v>
      </c>
      <c r="D4" s="3"/>
      <c r="E4" s="60" t="s">
        <v>564</v>
      </c>
      <c r="F4" s="61"/>
      <c r="G4" s="3">
        <v>2009</v>
      </c>
      <c r="H4" s="3">
        <v>2009</v>
      </c>
      <c r="I4" s="3">
        <v>2009</v>
      </c>
      <c r="J4" s="3">
        <v>2010</v>
      </c>
      <c r="K4" s="3">
        <v>2009</v>
      </c>
      <c r="L4" s="3">
        <v>2010</v>
      </c>
      <c r="M4" s="46"/>
      <c r="N4" s="19"/>
      <c r="O4" s="20"/>
    </row>
    <row r="5" spans="1:15" s="14" customFormat="1" ht="18.75">
      <c r="A5" s="12"/>
      <c r="B5" s="22">
        <f>+IF(G5&gt;0,+D5/G5,"-")</f>
        <v>10.254959079486188</v>
      </c>
      <c r="C5" s="22">
        <f>+IF(E5&gt;0,+D5/E5,"-")</f>
        <v>13.048242317356886</v>
      </c>
      <c r="D5" s="23">
        <v>286000000</v>
      </c>
      <c r="E5" s="23">
        <f t="shared" ref="E5:E19" si="0">+G5-I5+J5</f>
        <v>21918661</v>
      </c>
      <c r="F5" s="23">
        <f t="shared" ref="F5:F71" si="1">+H5-K5+L5</f>
        <v>32842410</v>
      </c>
      <c r="G5" s="23">
        <v>27888946</v>
      </c>
      <c r="H5" s="23">
        <f>38915617+386069+386069+80000+240432</f>
        <v>40008187</v>
      </c>
      <c r="I5" s="23">
        <v>20657763</v>
      </c>
      <c r="J5" s="23">
        <v>14687478</v>
      </c>
      <c r="K5" s="23">
        <v>27057763</v>
      </c>
      <c r="L5" s="23">
        <v>19891986</v>
      </c>
      <c r="M5" s="45" t="s">
        <v>458</v>
      </c>
      <c r="N5" s="25">
        <v>111001</v>
      </c>
      <c r="O5" s="23" t="s">
        <v>230</v>
      </c>
    </row>
    <row r="6" spans="1:15" s="14" customFormat="1" ht="18.75">
      <c r="A6" s="12"/>
      <c r="B6" s="22">
        <f>+IF(G6&gt;0,+D6/G6,"-")</f>
        <v>8.0956586676922075</v>
      </c>
      <c r="C6" s="22">
        <f t="shared" ref="C6:C71" si="2">+IF(E6&gt;0,+D6/E6,"-")</f>
        <v>9.0496383369395499</v>
      </c>
      <c r="D6" s="23">
        <v>355000000</v>
      </c>
      <c r="E6" s="23">
        <f t="shared" si="0"/>
        <v>39228087</v>
      </c>
      <c r="F6" s="23">
        <f t="shared" si="1"/>
        <v>55361973</v>
      </c>
      <c r="G6" s="23">
        <v>43850663</v>
      </c>
      <c r="H6" s="23">
        <f>60444367+465596+465596+363782+71600-1021279</f>
        <v>60789662</v>
      </c>
      <c r="I6" s="23">
        <v>27924139</v>
      </c>
      <c r="J6" s="23">
        <v>23301563</v>
      </c>
      <c r="K6" s="23">
        <f>40119310-964844</f>
        <v>39154466</v>
      </c>
      <c r="L6" s="23">
        <f>33883972-157195</f>
        <v>33726777</v>
      </c>
      <c r="M6" s="24" t="s">
        <v>2</v>
      </c>
      <c r="N6" s="25">
        <v>111002</v>
      </c>
      <c r="O6" s="23" t="s">
        <v>231</v>
      </c>
    </row>
    <row r="7" spans="1:15" s="14" customFormat="1" ht="18.75">
      <c r="A7" s="12"/>
      <c r="B7" s="22">
        <f t="shared" ref="B7:B71" si="3">+IF(G7&gt;0,+D7/G7,"-")</f>
        <v>25.288955720018379</v>
      </c>
      <c r="C7" s="22">
        <f t="shared" si="2"/>
        <v>18.284207885243145</v>
      </c>
      <c r="D7" s="23">
        <v>140628468.75</v>
      </c>
      <c r="E7" s="23">
        <f t="shared" si="0"/>
        <v>7691253</v>
      </c>
      <c r="F7" s="23">
        <f t="shared" si="1"/>
        <v>10736689</v>
      </c>
      <c r="G7" s="23">
        <v>5560865</v>
      </c>
      <c r="H7" s="23">
        <f>7230382+39546+39546+65549+35000</f>
        <v>7410023</v>
      </c>
      <c r="I7" s="23">
        <v>2004148</v>
      </c>
      <c r="J7" s="23">
        <v>4134536</v>
      </c>
      <c r="K7" s="23">
        <v>2380513</v>
      </c>
      <c r="L7" s="23">
        <v>5707179</v>
      </c>
      <c r="M7" s="24" t="s">
        <v>3</v>
      </c>
      <c r="N7" s="25">
        <v>111003</v>
      </c>
      <c r="O7" s="23" t="s">
        <v>232</v>
      </c>
    </row>
    <row r="8" spans="1:15" s="14" customFormat="1" ht="18.75">
      <c r="A8" s="12"/>
      <c r="B8" s="22">
        <f t="shared" si="3"/>
        <v>30.502713773185693</v>
      </c>
      <c r="C8" s="22">
        <f t="shared" si="2"/>
        <v>23.355695442293911</v>
      </c>
      <c r="D8" s="23">
        <v>1827000000</v>
      </c>
      <c r="E8" s="23">
        <f t="shared" si="0"/>
        <v>78225031</v>
      </c>
      <c r="F8" s="23">
        <f t="shared" si="1"/>
        <v>114287589</v>
      </c>
      <c r="G8" s="23">
        <v>59896310</v>
      </c>
      <c r="H8" s="23">
        <f>97014124+631906+719717+958009-6666200</f>
        <v>92657556</v>
      </c>
      <c r="I8" s="23">
        <v>26333022</v>
      </c>
      <c r="J8" s="23">
        <v>44661743</v>
      </c>
      <c r="K8" s="23">
        <f>44036904-2843955</f>
        <v>41192949</v>
      </c>
      <c r="L8" s="23">
        <f>67048963-4225981</f>
        <v>62822982</v>
      </c>
      <c r="M8" s="24" t="s">
        <v>4</v>
      </c>
      <c r="N8" s="25">
        <v>111004</v>
      </c>
      <c r="O8" s="23" t="s">
        <v>233</v>
      </c>
    </row>
    <row r="9" spans="1:15" s="14" customFormat="1" ht="18.75">
      <c r="A9" s="12"/>
      <c r="B9" s="22">
        <f t="shared" si="3"/>
        <v>12.380783766468705</v>
      </c>
      <c r="C9" s="22">
        <f t="shared" si="2"/>
        <v>11.376163070471918</v>
      </c>
      <c r="D9" s="23">
        <v>130000000</v>
      </c>
      <c r="E9" s="23">
        <f t="shared" si="0"/>
        <v>11427403</v>
      </c>
      <c r="F9" s="23">
        <f t="shared" si="1"/>
        <v>16461241</v>
      </c>
      <c r="G9" s="23">
        <v>10500143</v>
      </c>
      <c r="H9" s="23">
        <f>14916167+55000+65034+113282+113282-196516</f>
        <v>15066249</v>
      </c>
      <c r="I9" s="23">
        <v>5612329</v>
      </c>
      <c r="J9" s="23">
        <v>6539589</v>
      </c>
      <c r="K9" s="23">
        <f>7082200-108864</f>
        <v>6973336</v>
      </c>
      <c r="L9" s="23">
        <f>8465482-97154</f>
        <v>8368328</v>
      </c>
      <c r="M9" s="24" t="s">
        <v>8</v>
      </c>
      <c r="N9" s="25">
        <v>111005</v>
      </c>
      <c r="O9" s="23" t="s">
        <v>234</v>
      </c>
    </row>
    <row r="10" spans="1:15" s="14" customFormat="1" ht="18.75">
      <c r="A10" s="12"/>
      <c r="B10" s="22">
        <f t="shared" si="3"/>
        <v>55.928688992958485</v>
      </c>
      <c r="C10" s="22" t="s">
        <v>534</v>
      </c>
      <c r="D10" s="23">
        <v>101499999.99999999</v>
      </c>
      <c r="E10" s="23" t="s">
        <v>534</v>
      </c>
      <c r="F10" s="23" t="s">
        <v>534</v>
      </c>
      <c r="G10" s="23">
        <v>1814811</v>
      </c>
      <c r="H10" s="23">
        <v>2823152</v>
      </c>
      <c r="I10" s="23">
        <v>1266454</v>
      </c>
      <c r="J10" s="23" t="s">
        <v>530</v>
      </c>
      <c r="K10" s="23">
        <v>1946672</v>
      </c>
      <c r="L10" s="23">
        <v>-1667097</v>
      </c>
      <c r="M10" s="24" t="s">
        <v>520</v>
      </c>
      <c r="N10" s="25">
        <v>111006</v>
      </c>
      <c r="O10" s="23" t="s">
        <v>235</v>
      </c>
    </row>
    <row r="11" spans="1:15" s="14" customFormat="1" ht="18.75">
      <c r="A11" s="12"/>
      <c r="B11" s="22">
        <f t="shared" si="3"/>
        <v>12.627276510997683</v>
      </c>
      <c r="C11" s="22">
        <f t="shared" si="2"/>
        <v>11.528712285930421</v>
      </c>
      <c r="D11" s="23">
        <v>206000000</v>
      </c>
      <c r="E11" s="23">
        <f t="shared" si="0"/>
        <v>17868431</v>
      </c>
      <c r="F11" s="23">
        <f t="shared" si="1"/>
        <v>22688434</v>
      </c>
      <c r="G11" s="23">
        <v>16313890</v>
      </c>
      <c r="H11" s="23">
        <f>19657638+45268+144354+190529+190529</f>
        <v>20228318</v>
      </c>
      <c r="I11" s="23">
        <v>7658955</v>
      </c>
      <c r="J11" s="23">
        <v>9213496</v>
      </c>
      <c r="K11" s="23">
        <v>10510090</v>
      </c>
      <c r="L11" s="23">
        <v>12970206</v>
      </c>
      <c r="M11" s="24" t="s">
        <v>9</v>
      </c>
      <c r="N11" s="25">
        <v>111007</v>
      </c>
      <c r="O11" s="23" t="s">
        <v>236</v>
      </c>
    </row>
    <row r="12" spans="1:15" s="14" customFormat="1" ht="18.75">
      <c r="A12" s="12"/>
      <c r="B12" s="22">
        <f t="shared" si="3"/>
        <v>8.9062672662486975</v>
      </c>
      <c r="C12" s="22">
        <f t="shared" si="2"/>
        <v>8.2198168074269802</v>
      </c>
      <c r="D12" s="23">
        <v>82266113.079999998</v>
      </c>
      <c r="E12" s="23">
        <f t="shared" si="0"/>
        <v>10008266</v>
      </c>
      <c r="F12" s="23">
        <f t="shared" si="1"/>
        <v>14199248</v>
      </c>
      <c r="G12" s="23">
        <v>9236879</v>
      </c>
      <c r="H12" s="23">
        <f>13191183+99921+99921+83474+65004</f>
        <v>13539503</v>
      </c>
      <c r="I12" s="23">
        <v>5078832</v>
      </c>
      <c r="J12" s="23">
        <v>5850219</v>
      </c>
      <c r="K12" s="23">
        <v>7316189</v>
      </c>
      <c r="L12" s="23">
        <v>7975934</v>
      </c>
      <c r="M12" s="24" t="s">
        <v>10</v>
      </c>
      <c r="N12" s="25">
        <v>111009</v>
      </c>
      <c r="O12" s="23" t="s">
        <v>237</v>
      </c>
    </row>
    <row r="13" spans="1:15" s="14" customFormat="1" ht="18.75">
      <c r="A13" s="12"/>
      <c r="B13" s="22">
        <f t="shared" si="3"/>
        <v>17.559408064203051</v>
      </c>
      <c r="C13" s="22">
        <f t="shared" si="2"/>
        <v>10.606568010841229</v>
      </c>
      <c r="D13" s="23">
        <v>127099999.99999999</v>
      </c>
      <c r="E13" s="23">
        <f t="shared" si="0"/>
        <v>11983141</v>
      </c>
      <c r="F13" s="23">
        <f t="shared" si="1"/>
        <v>16974625</v>
      </c>
      <c r="G13" s="23">
        <v>7238285</v>
      </c>
      <c r="H13" s="23">
        <f>10629137+101777+101777+62056+54792</f>
        <v>10949539</v>
      </c>
      <c r="I13" s="23">
        <v>1311931</v>
      </c>
      <c r="J13" s="23">
        <v>6056787</v>
      </c>
      <c r="K13" s="23">
        <f>2438522-0</f>
        <v>2438522</v>
      </c>
      <c r="L13" s="23">
        <f>8460091+3517</f>
        <v>8463608</v>
      </c>
      <c r="M13" s="24" t="s">
        <v>11</v>
      </c>
      <c r="N13" s="25">
        <v>111014</v>
      </c>
      <c r="O13" s="23" t="s">
        <v>238</v>
      </c>
    </row>
    <row r="14" spans="1:15" s="14" customFormat="1" ht="18.75">
      <c r="A14" s="12"/>
      <c r="B14" s="22">
        <f t="shared" si="3"/>
        <v>113.50251846158288</v>
      </c>
      <c r="C14" s="22">
        <f t="shared" si="2"/>
        <v>135.56443859376867</v>
      </c>
      <c r="D14" s="23">
        <v>228000000</v>
      </c>
      <c r="E14" s="23">
        <f t="shared" si="0"/>
        <v>1681857</v>
      </c>
      <c r="F14" s="23">
        <f t="shared" si="1"/>
        <v>5463725</v>
      </c>
      <c r="G14" s="23">
        <v>2008766</v>
      </c>
      <c r="H14" s="23">
        <f>4268971+60000+34045+47951+47951+670383</f>
        <v>5129301</v>
      </c>
      <c r="I14" s="23">
        <v>3720003</v>
      </c>
      <c r="J14" s="23">
        <v>3393094</v>
      </c>
      <c r="K14" s="23">
        <f>4740678+35882+35882+31300+30000-197998</f>
        <v>4675744</v>
      </c>
      <c r="L14" s="23">
        <f>5148451+34135+30000-202418</f>
        <v>5010168</v>
      </c>
      <c r="M14" s="24" t="s">
        <v>5</v>
      </c>
      <c r="N14" s="25">
        <v>111017</v>
      </c>
      <c r="O14" s="23" t="s">
        <v>239</v>
      </c>
    </row>
    <row r="15" spans="1:15" s="14" customFormat="1" ht="18.75">
      <c r="A15" s="15"/>
      <c r="B15" s="22">
        <f t="shared" si="3"/>
        <v>12.653105227631112</v>
      </c>
      <c r="C15" s="22">
        <f t="shared" si="2"/>
        <v>12.433039464504331</v>
      </c>
      <c r="D15" s="23">
        <v>54210812.200000003</v>
      </c>
      <c r="E15" s="23">
        <f t="shared" si="0"/>
        <v>4360222</v>
      </c>
      <c r="F15" s="23">
        <f t="shared" si="1"/>
        <v>6709524</v>
      </c>
      <c r="G15" s="23">
        <v>4284388</v>
      </c>
      <c r="H15" s="23">
        <f>6143594+62685+62685+40000+55000</f>
        <v>6363964</v>
      </c>
      <c r="I15" s="23">
        <v>1796027</v>
      </c>
      <c r="J15" s="23">
        <v>1871861</v>
      </c>
      <c r="K15" s="23">
        <v>2453496</v>
      </c>
      <c r="L15" s="23">
        <v>2799056</v>
      </c>
      <c r="M15" s="24" t="s">
        <v>12</v>
      </c>
      <c r="N15" s="25">
        <v>111020</v>
      </c>
      <c r="O15" s="23" t="s">
        <v>240</v>
      </c>
    </row>
    <row r="16" spans="1:15" s="14" customFormat="1" ht="18.75">
      <c r="A16" s="12"/>
      <c r="B16" s="22">
        <f t="shared" si="3"/>
        <v>9.9808063223358925</v>
      </c>
      <c r="C16" s="22">
        <f t="shared" si="2"/>
        <v>8.7698578815297434</v>
      </c>
      <c r="D16" s="23">
        <v>254999999.99999997</v>
      </c>
      <c r="E16" s="23">
        <f t="shared" si="0"/>
        <v>29076868</v>
      </c>
      <c r="F16" s="23">
        <f t="shared" si="1"/>
        <v>40853424</v>
      </c>
      <c r="G16" s="23">
        <v>25549038</v>
      </c>
      <c r="H16" s="23">
        <f>34282889+186902+274644+274644+189766</f>
        <v>35208845</v>
      </c>
      <c r="I16" s="23">
        <v>12123423</v>
      </c>
      <c r="J16" s="23">
        <v>15651253</v>
      </c>
      <c r="K16" s="23">
        <v>16750829</v>
      </c>
      <c r="L16" s="23">
        <v>22395408</v>
      </c>
      <c r="M16" s="24" t="s">
        <v>6</v>
      </c>
      <c r="N16" s="25">
        <v>111021</v>
      </c>
      <c r="O16" s="23" t="s">
        <v>241</v>
      </c>
    </row>
    <row r="17" spans="1:15" s="14" customFormat="1" ht="18.75">
      <c r="A17" s="12"/>
      <c r="B17" s="22">
        <f t="shared" si="3"/>
        <v>8.4163663987681137</v>
      </c>
      <c r="C17" s="22">
        <f t="shared" si="2"/>
        <v>8.770741243798696</v>
      </c>
      <c r="D17" s="23">
        <v>225000000</v>
      </c>
      <c r="E17" s="23">
        <f t="shared" si="0"/>
        <v>25653476</v>
      </c>
      <c r="F17" s="23">
        <f t="shared" si="1"/>
        <v>39285000</v>
      </c>
      <c r="G17" s="23">
        <v>26733627</v>
      </c>
      <c r="H17" s="23">
        <f>36908946+342383+342383+204243+55000+1364490</f>
        <v>39217445</v>
      </c>
      <c r="I17" s="23">
        <v>15025513</v>
      </c>
      <c r="J17" s="23">
        <v>13945362</v>
      </c>
      <c r="K17" s="23">
        <f>19012802+439876</f>
        <v>19452678</v>
      </c>
      <c r="L17" s="23">
        <f>19943247-423014</f>
        <v>19520233</v>
      </c>
      <c r="M17" s="24" t="s">
        <v>13</v>
      </c>
      <c r="N17" s="25">
        <v>111022</v>
      </c>
      <c r="O17" s="23" t="s">
        <v>242</v>
      </c>
    </row>
    <row r="18" spans="1:15" s="14" customFormat="1" ht="18.75">
      <c r="A18" s="15"/>
      <c r="B18" s="22">
        <f t="shared" si="3"/>
        <v>9.7886635054179667</v>
      </c>
      <c r="C18" s="22">
        <f t="shared" si="2"/>
        <v>9.1564461054641075</v>
      </c>
      <c r="D18" s="23">
        <v>182600000</v>
      </c>
      <c r="E18" s="23">
        <f t="shared" si="0"/>
        <v>19942235</v>
      </c>
      <c r="F18" s="23">
        <f t="shared" si="1"/>
        <v>30098123</v>
      </c>
      <c r="G18" s="23">
        <v>18654232</v>
      </c>
      <c r="H18" s="23">
        <f>27268030-37761+65000+204982+204982+119835</f>
        <v>27825068</v>
      </c>
      <c r="I18" s="23">
        <v>8117436</v>
      </c>
      <c r="J18" s="23">
        <v>9405439</v>
      </c>
      <c r="K18" s="23">
        <f>12367934-15493</f>
        <v>12352441</v>
      </c>
      <c r="L18" s="23">
        <f>14656610-31114</f>
        <v>14625496</v>
      </c>
      <c r="M18" s="24" t="s">
        <v>14</v>
      </c>
      <c r="N18" s="25">
        <v>111033</v>
      </c>
      <c r="O18" s="23" t="s">
        <v>243</v>
      </c>
    </row>
    <row r="19" spans="1:15" s="14" customFormat="1" ht="18.75">
      <c r="A19" s="12"/>
      <c r="B19" s="22">
        <f t="shared" si="3"/>
        <v>22.787565139838186</v>
      </c>
      <c r="C19" s="22">
        <f t="shared" si="2"/>
        <v>24.142419504506222</v>
      </c>
      <c r="D19" s="23">
        <v>5697780000</v>
      </c>
      <c r="E19" s="23">
        <f t="shared" si="0"/>
        <v>236007000</v>
      </c>
      <c r="F19" s="23">
        <f t="shared" si="1"/>
        <v>314887000</v>
      </c>
      <c r="G19" s="23">
        <v>250039000</v>
      </c>
      <c r="H19" s="23">
        <v>324663000</v>
      </c>
      <c r="I19" s="23">
        <v>159528000</v>
      </c>
      <c r="J19" s="23">
        <v>145496000</v>
      </c>
      <c r="K19" s="23">
        <v>193996000</v>
      </c>
      <c r="L19" s="23">
        <v>184220000</v>
      </c>
      <c r="M19" s="24" t="s">
        <v>7</v>
      </c>
      <c r="N19" s="25">
        <v>113023</v>
      </c>
      <c r="O19" s="23" t="s">
        <v>244</v>
      </c>
    </row>
    <row r="20" spans="1:15" s="14" customFormat="1" ht="18.75">
      <c r="A20" s="12"/>
      <c r="B20" s="22"/>
      <c r="C20" s="22"/>
      <c r="D20" s="23"/>
      <c r="E20" s="23"/>
      <c r="F20" s="23"/>
      <c r="G20" s="23"/>
      <c r="H20" s="23"/>
      <c r="I20" s="23">
        <v>57783</v>
      </c>
      <c r="J20" s="23">
        <v>2835562</v>
      </c>
      <c r="K20" s="23">
        <v>1264566</v>
      </c>
      <c r="L20" s="23">
        <v>4050802</v>
      </c>
      <c r="M20" s="24" t="s">
        <v>531</v>
      </c>
      <c r="N20" s="25"/>
      <c r="O20" s="23"/>
    </row>
    <row r="21" spans="1:15" s="26" customFormat="1" ht="20.25">
      <c r="B21" s="27">
        <f t="shared" si="3"/>
        <v>19.424393986419638</v>
      </c>
      <c r="C21" s="27">
        <f t="shared" si="2"/>
        <v>19.093600119519735</v>
      </c>
      <c r="D21" s="28">
        <f>SUM(D5:D20)</f>
        <v>9898085394.0299988</v>
      </c>
      <c r="E21" s="28">
        <f t="shared" ref="E21:E54" si="4">+G21-I21+J21</f>
        <v>518398067</v>
      </c>
      <c r="F21" s="28">
        <f t="shared" si="1"/>
        <v>722844624</v>
      </c>
      <c r="G21" s="28">
        <f t="shared" ref="G21:L21" si="5">SUM(G5:G20)</f>
        <v>509569843</v>
      </c>
      <c r="H21" s="28">
        <f t="shared" si="5"/>
        <v>701879812</v>
      </c>
      <c r="I21" s="28">
        <f t="shared" si="5"/>
        <v>298215758</v>
      </c>
      <c r="J21" s="28">
        <f t="shared" si="5"/>
        <v>307043982</v>
      </c>
      <c r="K21" s="28">
        <f t="shared" si="5"/>
        <v>389916254</v>
      </c>
      <c r="L21" s="28">
        <f t="shared" si="5"/>
        <v>410881066</v>
      </c>
      <c r="M21" s="29" t="s">
        <v>537</v>
      </c>
      <c r="N21" s="30"/>
      <c r="O21" s="28"/>
    </row>
    <row r="22" spans="1:15" s="15" customFormat="1" ht="20.25">
      <c r="A22" s="12"/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4"/>
      <c r="O22" s="32"/>
    </row>
    <row r="23" spans="1:15" s="14" customFormat="1" ht="18.75">
      <c r="A23" s="12"/>
      <c r="B23" s="22">
        <f t="shared" si="3"/>
        <v>43.313648826857566</v>
      </c>
      <c r="C23" s="22">
        <f t="shared" si="2"/>
        <v>37.236085091103739</v>
      </c>
      <c r="D23" s="23">
        <v>44800000.000000007</v>
      </c>
      <c r="E23" s="23">
        <f t="shared" si="4"/>
        <v>1203134</v>
      </c>
      <c r="F23" s="23">
        <f t="shared" si="1"/>
        <v>1200500</v>
      </c>
      <c r="G23" s="23">
        <v>1034316</v>
      </c>
      <c r="H23" s="23">
        <f>972560+99105</f>
        <v>1071665</v>
      </c>
      <c r="I23" s="23">
        <v>804417</v>
      </c>
      <c r="J23" s="23">
        <v>973235</v>
      </c>
      <c r="K23" s="23">
        <v>1052188</v>
      </c>
      <c r="L23" s="23">
        <v>1181023</v>
      </c>
      <c r="M23" s="24" t="s">
        <v>15</v>
      </c>
      <c r="N23" s="25">
        <v>121002</v>
      </c>
      <c r="O23" s="23" t="s">
        <v>245</v>
      </c>
    </row>
    <row r="24" spans="1:15" s="14" customFormat="1" ht="18.75">
      <c r="A24" s="12"/>
      <c r="B24" s="22">
        <f t="shared" si="3"/>
        <v>18.226949827957846</v>
      </c>
      <c r="C24" s="22">
        <f t="shared" si="2"/>
        <v>18.83741081881341</v>
      </c>
      <c r="D24" s="23">
        <v>27000000</v>
      </c>
      <c r="E24" s="23">
        <f t="shared" si="4"/>
        <v>1433318</v>
      </c>
      <c r="F24" s="23">
        <f t="shared" si="1"/>
        <v>1700071</v>
      </c>
      <c r="G24" s="23">
        <v>1481323</v>
      </c>
      <c r="H24" s="23">
        <f>1767888+151180-66029</f>
        <v>1853039</v>
      </c>
      <c r="I24" s="23">
        <v>791925</v>
      </c>
      <c r="J24" s="23">
        <v>743920</v>
      </c>
      <c r="K24" s="23">
        <v>1115995</v>
      </c>
      <c r="L24" s="23">
        <v>963027</v>
      </c>
      <c r="M24" s="24" t="s">
        <v>16</v>
      </c>
      <c r="N24" s="25">
        <v>121003</v>
      </c>
      <c r="O24" s="23" t="s">
        <v>246</v>
      </c>
    </row>
    <row r="25" spans="1:15" s="14" customFormat="1" ht="18.75">
      <c r="A25" s="12"/>
      <c r="B25" s="22">
        <f t="shared" si="3"/>
        <v>26.94306929458055</v>
      </c>
      <c r="C25" s="22">
        <f t="shared" si="2"/>
        <v>44.082352364936568</v>
      </c>
      <c r="D25" s="23">
        <v>81000000</v>
      </c>
      <c r="E25" s="23">
        <f t="shared" si="4"/>
        <v>1837470</v>
      </c>
      <c r="F25" s="23">
        <f t="shared" si="1"/>
        <v>2639194</v>
      </c>
      <c r="G25" s="23">
        <v>3006339</v>
      </c>
      <c r="H25" s="23">
        <f>3919615+24005+55000+23908+23908</f>
        <v>4046436</v>
      </c>
      <c r="I25" s="23">
        <v>2174076</v>
      </c>
      <c r="J25" s="23">
        <v>1005207</v>
      </c>
      <c r="K25" s="23">
        <v>2649406</v>
      </c>
      <c r="L25" s="23">
        <v>1242164</v>
      </c>
      <c r="M25" s="24" t="s">
        <v>17</v>
      </c>
      <c r="N25" s="25">
        <v>121004</v>
      </c>
      <c r="O25" s="23" t="s">
        <v>247</v>
      </c>
    </row>
    <row r="26" spans="1:15" s="14" customFormat="1" ht="18.75">
      <c r="A26" s="12"/>
      <c r="B26" s="22">
        <f t="shared" si="3"/>
        <v>14.03851018589631</v>
      </c>
      <c r="C26" s="22">
        <f t="shared" si="2"/>
        <v>20.324800876342064</v>
      </c>
      <c r="D26" s="23">
        <v>6160000</v>
      </c>
      <c r="E26" s="23">
        <f t="shared" si="4"/>
        <v>303078</v>
      </c>
      <c r="F26" s="23">
        <f t="shared" si="1"/>
        <v>461377</v>
      </c>
      <c r="G26" s="23">
        <v>438793</v>
      </c>
      <c r="H26" s="23">
        <f>650544+27220</f>
        <v>677764</v>
      </c>
      <c r="I26" s="23">
        <v>292526</v>
      </c>
      <c r="J26" s="23">
        <v>156811</v>
      </c>
      <c r="K26" s="23">
        <v>403351</v>
      </c>
      <c r="L26" s="23">
        <v>186964</v>
      </c>
      <c r="M26" s="24" t="s">
        <v>18</v>
      </c>
      <c r="N26" s="25">
        <v>121005</v>
      </c>
      <c r="O26" s="23" t="s">
        <v>248</v>
      </c>
    </row>
    <row r="27" spans="1:15" s="14" customFormat="1" ht="18.75">
      <c r="A27" s="12"/>
      <c r="B27" s="22">
        <f t="shared" si="3"/>
        <v>27.636534752008785</v>
      </c>
      <c r="C27" s="22">
        <f t="shared" si="2"/>
        <v>72.758378274741531</v>
      </c>
      <c r="D27" s="23">
        <v>14800000</v>
      </c>
      <c r="E27" s="23">
        <f t="shared" si="4"/>
        <v>203413</v>
      </c>
      <c r="F27" s="23">
        <f t="shared" si="1"/>
        <v>461680</v>
      </c>
      <c r="G27" s="23">
        <v>535523</v>
      </c>
      <c r="H27" s="23">
        <f>702063+81955-29517</f>
        <v>754501</v>
      </c>
      <c r="I27" s="23">
        <v>279488</v>
      </c>
      <c r="J27" s="23">
        <v>-52622</v>
      </c>
      <c r="K27" s="23">
        <v>279488</v>
      </c>
      <c r="L27" s="23">
        <v>-13333</v>
      </c>
      <c r="M27" s="24" t="s">
        <v>19</v>
      </c>
      <c r="N27" s="25">
        <v>121006</v>
      </c>
      <c r="O27" s="23" t="s">
        <v>249</v>
      </c>
    </row>
    <row r="28" spans="1:15" s="14" customFormat="1" ht="18.75">
      <c r="A28" s="12"/>
      <c r="B28" s="22">
        <f t="shared" si="3"/>
        <v>15.495420185843098</v>
      </c>
      <c r="C28" s="22">
        <f t="shared" si="2"/>
        <v>14.301211745434667</v>
      </c>
      <c r="D28" s="23">
        <v>15200000</v>
      </c>
      <c r="E28" s="23">
        <f t="shared" si="4"/>
        <v>1062847</v>
      </c>
      <c r="F28" s="23">
        <f t="shared" si="1"/>
        <v>1475885</v>
      </c>
      <c r="G28" s="23">
        <v>980935</v>
      </c>
      <c r="H28" s="23">
        <f>1334591-656+105034-23000</f>
        <v>1415969</v>
      </c>
      <c r="I28" s="23">
        <v>448358</v>
      </c>
      <c r="J28" s="23">
        <v>530270</v>
      </c>
      <c r="K28" s="23">
        <v>637808</v>
      </c>
      <c r="L28" s="23">
        <v>697724</v>
      </c>
      <c r="M28" s="24" t="s">
        <v>20</v>
      </c>
      <c r="N28" s="25">
        <v>121007</v>
      </c>
      <c r="O28" s="23" t="s">
        <v>250</v>
      </c>
    </row>
    <row r="29" spans="1:15" s="14" customFormat="1" ht="18.75">
      <c r="A29" s="12"/>
      <c r="B29" s="22" t="str">
        <f t="shared" si="3"/>
        <v>-</v>
      </c>
      <c r="C29" s="22" t="str">
        <f t="shared" si="2"/>
        <v>-</v>
      </c>
      <c r="D29" s="23">
        <v>9040000</v>
      </c>
      <c r="E29" s="23">
        <f t="shared" si="4"/>
        <v>-93060</v>
      </c>
      <c r="F29" s="23">
        <f t="shared" si="1"/>
        <v>-16527</v>
      </c>
      <c r="G29" s="23">
        <v>-116859</v>
      </c>
      <c r="H29" s="23">
        <v>-40326</v>
      </c>
      <c r="I29" s="23">
        <v>216134</v>
      </c>
      <c r="J29" s="23">
        <v>239933</v>
      </c>
      <c r="K29" s="23">
        <v>216134</v>
      </c>
      <c r="L29" s="23">
        <v>239933</v>
      </c>
      <c r="M29" s="24" t="s">
        <v>21</v>
      </c>
      <c r="N29" s="25">
        <v>121008</v>
      </c>
      <c r="O29" s="23" t="s">
        <v>251</v>
      </c>
    </row>
    <row r="30" spans="1:15" s="14" customFormat="1" ht="18.75">
      <c r="A30" s="15"/>
      <c r="B30" s="22">
        <f t="shared" si="3"/>
        <v>193.85169133580638</v>
      </c>
      <c r="C30" s="22" t="str">
        <f t="shared" si="2"/>
        <v>-</v>
      </c>
      <c r="D30" s="23">
        <v>5278000</v>
      </c>
      <c r="E30" s="23">
        <f t="shared" si="4"/>
        <v>-286778</v>
      </c>
      <c r="F30" s="23">
        <f t="shared" si="1"/>
        <v>-299064</v>
      </c>
      <c r="G30" s="23">
        <v>27227</v>
      </c>
      <c r="H30" s="23">
        <v>-72911</v>
      </c>
      <c r="I30" s="23">
        <v>44907</v>
      </c>
      <c r="J30" s="23">
        <v>-269098</v>
      </c>
      <c r="K30" s="23">
        <v>-42945</v>
      </c>
      <c r="L30" s="23">
        <v>-269098</v>
      </c>
      <c r="M30" s="24" t="s">
        <v>22</v>
      </c>
      <c r="N30" s="25">
        <v>121009</v>
      </c>
      <c r="O30" s="23" t="s">
        <v>252</v>
      </c>
    </row>
    <row r="31" spans="1:15" s="14" customFormat="1" ht="18.75">
      <c r="A31" s="15"/>
      <c r="B31" s="22">
        <f t="shared" si="3"/>
        <v>38.617423379935332</v>
      </c>
      <c r="C31" s="22" t="s">
        <v>534</v>
      </c>
      <c r="D31" s="23">
        <v>4240000</v>
      </c>
      <c r="E31" s="23" t="s">
        <v>530</v>
      </c>
      <c r="F31" s="23">
        <f t="shared" si="1"/>
        <v>-981089</v>
      </c>
      <c r="G31" s="23">
        <v>109795</v>
      </c>
      <c r="H31" s="23">
        <f>130376+5400+1402+1402+1114+5</f>
        <v>139699</v>
      </c>
      <c r="I31" s="23">
        <v>537011</v>
      </c>
      <c r="J31" s="23">
        <v>-399006</v>
      </c>
      <c r="K31" s="23">
        <v>721782</v>
      </c>
      <c r="L31" s="23">
        <v>-399006</v>
      </c>
      <c r="M31" s="24" t="s">
        <v>23</v>
      </c>
      <c r="N31" s="25">
        <v>121010</v>
      </c>
      <c r="O31" s="23" t="s">
        <v>253</v>
      </c>
    </row>
    <row r="32" spans="1:15" s="14" customFormat="1" ht="18.75">
      <c r="A32" s="12"/>
      <c r="B32" s="22" t="str">
        <f t="shared" si="3"/>
        <v>-</v>
      </c>
      <c r="C32" s="22" t="str">
        <f t="shared" si="2"/>
        <v>-</v>
      </c>
      <c r="D32" s="23">
        <v>6080000</v>
      </c>
      <c r="E32" s="23">
        <f t="shared" si="4"/>
        <v>-254089</v>
      </c>
      <c r="F32" s="23">
        <f t="shared" si="1"/>
        <v>-251447</v>
      </c>
      <c r="G32" s="23">
        <v>-735503</v>
      </c>
      <c r="H32" s="23">
        <v>-734868</v>
      </c>
      <c r="I32" s="23">
        <v>-556329</v>
      </c>
      <c r="J32" s="23">
        <v>-74915</v>
      </c>
      <c r="K32" s="23">
        <v>-556297</v>
      </c>
      <c r="L32" s="23">
        <v>-72876</v>
      </c>
      <c r="M32" s="24" t="s">
        <v>24</v>
      </c>
      <c r="N32" s="25">
        <v>121011</v>
      </c>
      <c r="O32" s="23" t="s">
        <v>254</v>
      </c>
    </row>
    <row r="33" spans="1:15" s="14" customFormat="1" ht="18.75">
      <c r="A33" s="12"/>
      <c r="B33" s="22" t="str">
        <f t="shared" si="3"/>
        <v>-</v>
      </c>
      <c r="C33" s="22" t="s">
        <v>534</v>
      </c>
      <c r="D33" s="23">
        <v>6410762.4000000004</v>
      </c>
      <c r="E33" s="23" t="s">
        <v>530</v>
      </c>
      <c r="F33" s="23">
        <f t="shared" si="1"/>
        <v>-398944</v>
      </c>
      <c r="G33" s="23">
        <f>+H33</f>
        <v>-743157</v>
      </c>
      <c r="H33" s="23">
        <v>-743157</v>
      </c>
      <c r="I33" s="23" t="s">
        <v>530</v>
      </c>
      <c r="J33" s="23" t="s">
        <v>530</v>
      </c>
      <c r="K33" s="23">
        <v>-753202</v>
      </c>
      <c r="L33" s="23">
        <v>-408989</v>
      </c>
      <c r="M33" s="24" t="s">
        <v>25</v>
      </c>
      <c r="N33" s="25">
        <v>121012</v>
      </c>
      <c r="O33" s="23" t="s">
        <v>255</v>
      </c>
    </row>
    <row r="34" spans="1:15" s="14" customFormat="1" ht="18.75">
      <c r="A34" s="12"/>
      <c r="B34" s="22" t="str">
        <f t="shared" si="3"/>
        <v>-</v>
      </c>
      <c r="C34" s="22" t="str">
        <f t="shared" si="2"/>
        <v>-</v>
      </c>
      <c r="D34" s="23">
        <v>9030000</v>
      </c>
      <c r="E34" s="23">
        <f t="shared" si="4"/>
        <v>-362574</v>
      </c>
      <c r="F34" s="23">
        <f t="shared" si="1"/>
        <v>-362574</v>
      </c>
      <c r="G34" s="23">
        <v>-1605990</v>
      </c>
      <c r="H34" s="23">
        <v>-1597490</v>
      </c>
      <c r="I34" s="23">
        <v>-1639970</v>
      </c>
      <c r="J34" s="23">
        <v>-396554</v>
      </c>
      <c r="K34" s="23">
        <v>-1631470</v>
      </c>
      <c r="L34" s="23">
        <v>-396554</v>
      </c>
      <c r="M34" s="24" t="s">
        <v>26</v>
      </c>
      <c r="N34" s="25">
        <v>121013</v>
      </c>
      <c r="O34" s="23" t="s">
        <v>256</v>
      </c>
    </row>
    <row r="35" spans="1:15" s="14" customFormat="1" ht="18.75">
      <c r="A35" s="12"/>
      <c r="B35" s="22">
        <f t="shared" si="3"/>
        <v>10.463238933138138</v>
      </c>
      <c r="C35" s="22">
        <f t="shared" si="2"/>
        <v>12.166667950070458</v>
      </c>
      <c r="D35" s="23">
        <v>23700000</v>
      </c>
      <c r="E35" s="23">
        <f t="shared" si="4"/>
        <v>1947945</v>
      </c>
      <c r="F35" s="23">
        <f t="shared" si="1"/>
        <v>2767474</v>
      </c>
      <c r="G35" s="23">
        <v>2265073</v>
      </c>
      <c r="H35" s="23">
        <f>3145120+143923-25806</f>
        <v>3263237</v>
      </c>
      <c r="I35" s="23">
        <v>1709090</v>
      </c>
      <c r="J35" s="23">
        <v>1391962</v>
      </c>
      <c r="K35" s="23">
        <v>2327292</v>
      </c>
      <c r="L35" s="23">
        <v>1831529</v>
      </c>
      <c r="M35" s="24" t="s">
        <v>27</v>
      </c>
      <c r="N35" s="25">
        <v>121014</v>
      </c>
      <c r="O35" s="23" t="s">
        <v>257</v>
      </c>
    </row>
    <row r="36" spans="1:15" s="14" customFormat="1" ht="18.75">
      <c r="A36" s="12"/>
      <c r="B36" s="22" t="str">
        <f t="shared" si="3"/>
        <v>-</v>
      </c>
      <c r="C36" s="22" t="str">
        <f t="shared" si="2"/>
        <v>-</v>
      </c>
      <c r="D36" s="23">
        <v>3900000</v>
      </c>
      <c r="E36" s="23">
        <f t="shared" si="4"/>
        <v>-220704</v>
      </c>
      <c r="F36" s="23">
        <f t="shared" si="1"/>
        <v>-220704</v>
      </c>
      <c r="G36" s="23">
        <v>-221178</v>
      </c>
      <c r="H36" s="23">
        <v>-221178</v>
      </c>
      <c r="I36" s="23">
        <v>36855</v>
      </c>
      <c r="J36" s="23">
        <v>37329</v>
      </c>
      <c r="K36" s="23">
        <v>36855</v>
      </c>
      <c r="L36" s="23">
        <v>37329</v>
      </c>
      <c r="M36" s="24" t="s">
        <v>28</v>
      </c>
      <c r="N36" s="25">
        <v>121015</v>
      </c>
      <c r="O36" s="23" t="s">
        <v>258</v>
      </c>
    </row>
    <row r="37" spans="1:15" s="14" customFormat="1" ht="18.75">
      <c r="A37" s="12"/>
      <c r="B37" s="22">
        <f t="shared" si="3"/>
        <v>171.05388197282144</v>
      </c>
      <c r="C37" s="22" t="str">
        <f t="shared" si="2"/>
        <v>-</v>
      </c>
      <c r="D37" s="23">
        <v>7200000</v>
      </c>
      <c r="E37" s="23">
        <f t="shared" si="4"/>
        <v>-168070</v>
      </c>
      <c r="F37" s="23">
        <f t="shared" si="1"/>
        <v>37402</v>
      </c>
      <c r="G37" s="23">
        <v>42092</v>
      </c>
      <c r="H37" s="23">
        <f>343092+7075</f>
        <v>350167</v>
      </c>
      <c r="I37" s="23">
        <v>101001</v>
      </c>
      <c r="J37" s="23">
        <v>-109161</v>
      </c>
      <c r="K37" s="23">
        <v>221001</v>
      </c>
      <c r="L37" s="23">
        <v>-91764</v>
      </c>
      <c r="M37" s="24" t="s">
        <v>29</v>
      </c>
      <c r="N37" s="25">
        <v>121017</v>
      </c>
      <c r="O37" s="23" t="s">
        <v>259</v>
      </c>
    </row>
    <row r="38" spans="1:15" s="14" customFormat="1" ht="18.75">
      <c r="A38" s="12"/>
      <c r="B38" s="22" t="str">
        <f t="shared" si="3"/>
        <v>-</v>
      </c>
      <c r="C38" s="22" t="str">
        <f t="shared" si="2"/>
        <v>-</v>
      </c>
      <c r="D38" s="23">
        <v>5200000</v>
      </c>
      <c r="E38" s="23">
        <f t="shared" si="4"/>
        <v>-174368</v>
      </c>
      <c r="F38" s="23">
        <f t="shared" si="1"/>
        <v>-153283</v>
      </c>
      <c r="G38" s="23">
        <v>-149853</v>
      </c>
      <c r="H38" s="23">
        <v>-149853</v>
      </c>
      <c r="I38" s="23">
        <v>102200</v>
      </c>
      <c r="J38" s="23">
        <v>77685</v>
      </c>
      <c r="K38" s="23">
        <v>107765</v>
      </c>
      <c r="L38" s="23">
        <v>104335</v>
      </c>
      <c r="M38" s="24" t="s">
        <v>30</v>
      </c>
      <c r="N38" s="25">
        <v>121018</v>
      </c>
      <c r="O38" s="23" t="s">
        <v>260</v>
      </c>
    </row>
    <row r="39" spans="1:15" s="14" customFormat="1" ht="18.75">
      <c r="A39" s="12"/>
      <c r="B39" s="22">
        <f t="shared" si="3"/>
        <v>42.677190647729617</v>
      </c>
      <c r="C39" s="22">
        <f t="shared" si="2"/>
        <v>51.46708873368825</v>
      </c>
      <c r="D39" s="23">
        <v>9300000</v>
      </c>
      <c r="E39" s="23">
        <f t="shared" si="4"/>
        <v>180698</v>
      </c>
      <c r="F39" s="23">
        <f t="shared" si="1"/>
        <v>211877</v>
      </c>
      <c r="G39" s="23">
        <v>217915</v>
      </c>
      <c r="H39" s="23">
        <f>301353</f>
        <v>301353</v>
      </c>
      <c r="I39" s="23">
        <v>121613</v>
      </c>
      <c r="J39" s="23">
        <v>84396</v>
      </c>
      <c r="K39" s="23">
        <v>202264</v>
      </c>
      <c r="L39" s="23">
        <v>112788</v>
      </c>
      <c r="M39" s="24" t="s">
        <v>31</v>
      </c>
      <c r="N39" s="25">
        <v>121020</v>
      </c>
      <c r="O39" s="23" t="s">
        <v>261</v>
      </c>
    </row>
    <row r="40" spans="1:15" s="14" customFormat="1" ht="18.75">
      <c r="A40" s="12"/>
      <c r="B40" s="22">
        <f t="shared" si="3"/>
        <v>63.671224947543593</v>
      </c>
      <c r="C40" s="22" t="str">
        <f t="shared" si="2"/>
        <v>-</v>
      </c>
      <c r="D40" s="23">
        <v>10560000</v>
      </c>
      <c r="E40" s="23">
        <f t="shared" si="4"/>
        <v>-355974</v>
      </c>
      <c r="F40" s="23">
        <f t="shared" si="1"/>
        <v>-242677</v>
      </c>
      <c r="G40" s="23">
        <v>165852</v>
      </c>
      <c r="H40" s="23">
        <f>368852+3781+3781+1675</f>
        <v>378089</v>
      </c>
      <c r="I40" s="23">
        <v>148826</v>
      </c>
      <c r="J40" s="23">
        <v>-373000</v>
      </c>
      <c r="K40" s="23">
        <v>247766</v>
      </c>
      <c r="L40" s="23">
        <v>-373000</v>
      </c>
      <c r="M40" s="24" t="s">
        <v>32</v>
      </c>
      <c r="N40" s="25">
        <v>121021</v>
      </c>
      <c r="O40" s="23" t="s">
        <v>262</v>
      </c>
    </row>
    <row r="41" spans="1:15" s="14" customFormat="1" ht="18.75">
      <c r="A41" s="12"/>
      <c r="B41" s="22">
        <f t="shared" si="3"/>
        <v>16.216047185868064</v>
      </c>
      <c r="C41" s="22" t="str">
        <f t="shared" si="2"/>
        <v>-</v>
      </c>
      <c r="D41" s="23">
        <v>10890000</v>
      </c>
      <c r="E41" s="23">
        <f t="shared" si="4"/>
        <v>-369253</v>
      </c>
      <c r="F41" s="23">
        <f t="shared" si="1"/>
        <v>-269980</v>
      </c>
      <c r="G41" s="23">
        <v>671557</v>
      </c>
      <c r="H41" s="23">
        <f>1194842-38698</f>
        <v>1156144</v>
      </c>
      <c r="I41" s="23">
        <v>761260</v>
      </c>
      <c r="J41" s="23">
        <v>-279550</v>
      </c>
      <c r="K41" s="23">
        <f>1158007-30146</f>
        <v>1127861</v>
      </c>
      <c r="L41" s="23">
        <f>-313264+15001</f>
        <v>-298263</v>
      </c>
      <c r="M41" s="24" t="s">
        <v>33</v>
      </c>
      <c r="N41" s="25">
        <v>121022</v>
      </c>
      <c r="O41" s="23" t="s">
        <v>263</v>
      </c>
    </row>
    <row r="42" spans="1:15" s="14" customFormat="1" ht="18.75">
      <c r="A42" s="12"/>
      <c r="B42" s="22">
        <f t="shared" si="3"/>
        <v>57.283092307786461</v>
      </c>
      <c r="C42" s="22" t="str">
        <f t="shared" si="2"/>
        <v>-</v>
      </c>
      <c r="D42" s="23">
        <v>9360000</v>
      </c>
      <c r="E42" s="23">
        <f t="shared" si="4"/>
        <v>-1000224</v>
      </c>
      <c r="F42" s="23">
        <f t="shared" si="1"/>
        <v>-796310</v>
      </c>
      <c r="G42" s="23">
        <v>163399</v>
      </c>
      <c r="H42" s="23">
        <f>605781+62905</f>
        <v>668686</v>
      </c>
      <c r="I42" s="23">
        <v>483016</v>
      </c>
      <c r="J42" s="23">
        <v>-680607</v>
      </c>
      <c r="K42" s="23">
        <v>724725</v>
      </c>
      <c r="L42" s="23">
        <v>-740271</v>
      </c>
      <c r="M42" s="24" t="s">
        <v>34</v>
      </c>
      <c r="N42" s="25">
        <v>121023</v>
      </c>
      <c r="O42" s="23" t="s">
        <v>264</v>
      </c>
    </row>
    <row r="43" spans="1:15" s="14" customFormat="1" ht="18.75">
      <c r="A43" s="12"/>
      <c r="B43" s="22" t="str">
        <f t="shared" si="3"/>
        <v>-</v>
      </c>
      <c r="C43" s="22" t="str">
        <f t="shared" si="2"/>
        <v>-</v>
      </c>
      <c r="D43" s="23">
        <v>12272802.399999999</v>
      </c>
      <c r="E43" s="23">
        <f t="shared" si="4"/>
        <v>-1724327</v>
      </c>
      <c r="F43" s="23">
        <f t="shared" si="1"/>
        <v>-1720742</v>
      </c>
      <c r="G43" s="23"/>
      <c r="H43" s="23"/>
      <c r="I43" s="23">
        <v>977524</v>
      </c>
      <c r="J43" s="23">
        <v>-746803</v>
      </c>
      <c r="K43" s="23">
        <f>977892-368</f>
        <v>977524</v>
      </c>
      <c r="L43" s="23">
        <f>-743318+100</f>
        <v>-743218</v>
      </c>
      <c r="M43" s="24" t="s">
        <v>35</v>
      </c>
      <c r="N43" s="25">
        <v>121024</v>
      </c>
      <c r="O43" s="23" t="s">
        <v>265</v>
      </c>
    </row>
    <row r="44" spans="1:15" s="14" customFormat="1" ht="18.75">
      <c r="A44" s="15"/>
      <c r="B44" s="22">
        <f t="shared" si="3"/>
        <v>111.36523842607853</v>
      </c>
      <c r="C44" s="22" t="s">
        <v>534</v>
      </c>
      <c r="D44" s="23">
        <v>21960000</v>
      </c>
      <c r="E44" s="23" t="s">
        <v>530</v>
      </c>
      <c r="F44" s="23">
        <f t="shared" si="1"/>
        <v>736350</v>
      </c>
      <c r="G44" s="23">
        <v>197189</v>
      </c>
      <c r="H44" s="23">
        <f>197189+20776</f>
        <v>217965</v>
      </c>
      <c r="I44" s="23" t="s">
        <v>530</v>
      </c>
      <c r="J44" s="23" t="s">
        <v>530</v>
      </c>
      <c r="K44" s="23">
        <v>-706708</v>
      </c>
      <c r="L44" s="23">
        <v>-188323</v>
      </c>
      <c r="M44" s="24" t="s">
        <v>36</v>
      </c>
      <c r="N44" s="25">
        <v>121025</v>
      </c>
      <c r="O44" s="23" t="s">
        <v>266</v>
      </c>
    </row>
    <row r="45" spans="1:15" s="14" customFormat="1" ht="18.75">
      <c r="A45" s="12"/>
      <c r="B45" s="22" t="str">
        <f t="shared" si="3"/>
        <v>-</v>
      </c>
      <c r="C45" s="22" t="s">
        <v>534</v>
      </c>
      <c r="D45" s="23">
        <v>3840000</v>
      </c>
      <c r="E45" s="23" t="s">
        <v>534</v>
      </c>
      <c r="F45" s="23">
        <f t="shared" si="1"/>
        <v>1613316</v>
      </c>
      <c r="G45" s="23"/>
      <c r="H45" s="23"/>
      <c r="I45" s="23">
        <v>-2403241</v>
      </c>
      <c r="J45" s="23">
        <v>-789925</v>
      </c>
      <c r="K45" s="23">
        <v>-2403241</v>
      </c>
      <c r="L45" s="23">
        <v>-789925</v>
      </c>
      <c r="M45" s="24" t="s">
        <v>37</v>
      </c>
      <c r="N45" s="25">
        <v>121026</v>
      </c>
      <c r="O45" s="23" t="s">
        <v>267</v>
      </c>
    </row>
    <row r="46" spans="1:15" s="14" customFormat="1" ht="18.75">
      <c r="A46" s="12"/>
      <c r="B46" s="22" t="str">
        <f t="shared" si="3"/>
        <v>-</v>
      </c>
      <c r="C46" s="22" t="s">
        <v>534</v>
      </c>
      <c r="D46" s="23">
        <v>10200000</v>
      </c>
      <c r="E46" s="23" t="s">
        <v>530</v>
      </c>
      <c r="F46" s="23">
        <f t="shared" si="1"/>
        <v>-5450291</v>
      </c>
      <c r="G46" s="23">
        <v>-4366204</v>
      </c>
      <c r="H46" s="23">
        <v>-4366204</v>
      </c>
      <c r="I46" s="23" t="s">
        <v>530</v>
      </c>
      <c r="J46" s="23" t="s">
        <v>530</v>
      </c>
      <c r="K46" s="23">
        <v>-421786</v>
      </c>
      <c r="L46" s="23">
        <v>-1505873</v>
      </c>
      <c r="M46" s="24" t="s">
        <v>38</v>
      </c>
      <c r="N46" s="25">
        <v>121027</v>
      </c>
      <c r="O46" s="23" t="s">
        <v>268</v>
      </c>
    </row>
    <row r="47" spans="1:15" s="14" customFormat="1" ht="18.75">
      <c r="A47" s="12"/>
      <c r="B47" s="22">
        <f t="shared" si="3"/>
        <v>12.126431078646885</v>
      </c>
      <c r="C47" s="22" t="s">
        <v>534</v>
      </c>
      <c r="D47" s="23">
        <v>7210000</v>
      </c>
      <c r="E47" s="23" t="s">
        <v>530</v>
      </c>
      <c r="F47" s="23">
        <f t="shared" si="1"/>
        <v>-69721</v>
      </c>
      <c r="G47" s="23">
        <v>594569</v>
      </c>
      <c r="H47" s="23">
        <f>594569+4015+122</f>
        <v>598706</v>
      </c>
      <c r="I47" s="23" t="s">
        <v>530</v>
      </c>
      <c r="J47" s="23" t="s">
        <v>530</v>
      </c>
      <c r="K47" s="23">
        <v>881710</v>
      </c>
      <c r="L47" s="23">
        <v>213283</v>
      </c>
      <c r="M47" s="24" t="s">
        <v>39</v>
      </c>
      <c r="N47" s="25">
        <v>121031</v>
      </c>
      <c r="O47" s="23" t="s">
        <v>269</v>
      </c>
    </row>
    <row r="48" spans="1:15" s="14" customFormat="1" ht="18.75">
      <c r="A48" s="12"/>
      <c r="B48" s="22" t="str">
        <f t="shared" si="3"/>
        <v>-</v>
      </c>
      <c r="C48" s="22" t="str">
        <f t="shared" si="2"/>
        <v>-</v>
      </c>
      <c r="D48" s="23">
        <v>14500000</v>
      </c>
      <c r="E48" s="23">
        <f t="shared" si="4"/>
        <v>-1204539</v>
      </c>
      <c r="F48" s="23">
        <f t="shared" si="1"/>
        <v>-1225788</v>
      </c>
      <c r="G48" s="23">
        <v>-364759</v>
      </c>
      <c r="H48" s="23">
        <f>+-349912</f>
        <v>-349912</v>
      </c>
      <c r="I48" s="23">
        <v>37435</v>
      </c>
      <c r="J48" s="23">
        <v>-802345</v>
      </c>
      <c r="K48" s="23">
        <v>73531</v>
      </c>
      <c r="L48" s="23">
        <v>-802345</v>
      </c>
      <c r="M48" s="24" t="s">
        <v>40</v>
      </c>
      <c r="N48" s="25">
        <v>121032</v>
      </c>
      <c r="O48" s="23" t="s">
        <v>270</v>
      </c>
    </row>
    <row r="49" spans="1:15" s="14" customFormat="1" ht="18.75">
      <c r="A49" s="12"/>
      <c r="B49" s="22">
        <f t="shared" si="3"/>
        <v>20.367656162014722</v>
      </c>
      <c r="C49" s="22">
        <f t="shared" si="2"/>
        <v>27.055200566567731</v>
      </c>
      <c r="D49" s="23">
        <v>20400000</v>
      </c>
      <c r="E49" s="23">
        <f t="shared" si="4"/>
        <v>754014</v>
      </c>
      <c r="F49" s="23">
        <f t="shared" si="1"/>
        <v>1085808</v>
      </c>
      <c r="G49" s="23">
        <v>1001588</v>
      </c>
      <c r="H49" s="23">
        <f>1282087+86896-10493</f>
        <v>1358490</v>
      </c>
      <c r="I49" s="23">
        <v>649366</v>
      </c>
      <c r="J49" s="23">
        <v>401792</v>
      </c>
      <c r="K49" s="23">
        <v>822288</v>
      </c>
      <c r="L49" s="23">
        <v>549606</v>
      </c>
      <c r="M49" s="24" t="s">
        <v>469</v>
      </c>
      <c r="N49" s="25">
        <v>121034</v>
      </c>
      <c r="O49" s="23" t="s">
        <v>468</v>
      </c>
    </row>
    <row r="50" spans="1:15" s="26" customFormat="1" ht="20.25">
      <c r="B50" s="27">
        <f t="shared" si="3"/>
        <v>86.292250121058771</v>
      </c>
      <c r="C50" s="27" t="str">
        <f t="shared" si="2"/>
        <v>-</v>
      </c>
      <c r="D50" s="28">
        <f>SUM(D23:D49)</f>
        <v>399531564.79999995</v>
      </c>
      <c r="E50" s="28">
        <f t="shared" si="4"/>
        <v>-818552</v>
      </c>
      <c r="F50" s="28">
        <f>+H50-K50+L50</f>
        <v>1931793</v>
      </c>
      <c r="G50" s="28">
        <f t="shared" ref="G50:L50" si="6">SUM(G23:G49)</f>
        <v>4629982</v>
      </c>
      <c r="H50" s="28">
        <f t="shared" si="6"/>
        <v>9976011</v>
      </c>
      <c r="I50" s="28">
        <f t="shared" si="6"/>
        <v>6117488</v>
      </c>
      <c r="J50" s="28">
        <f t="shared" si="6"/>
        <v>668954</v>
      </c>
      <c r="K50" s="28">
        <f t="shared" si="6"/>
        <v>8311085</v>
      </c>
      <c r="L50" s="28">
        <f t="shared" si="6"/>
        <v>266867</v>
      </c>
      <c r="M50" s="29" t="s">
        <v>538</v>
      </c>
      <c r="N50" s="30"/>
      <c r="O50" s="28"/>
    </row>
    <row r="51" spans="1:15" s="15" customFormat="1" ht="20.25">
      <c r="A51" s="12"/>
      <c r="B51" s="31"/>
      <c r="C51" s="31"/>
      <c r="D51" s="32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2"/>
    </row>
    <row r="52" spans="1:15" s="14" customFormat="1" ht="18.75">
      <c r="A52" s="15"/>
      <c r="B52" s="22">
        <f t="shared" si="3"/>
        <v>290.31187790311878</v>
      </c>
      <c r="C52" s="22" t="s">
        <v>534</v>
      </c>
      <c r="D52" s="23">
        <v>10500000</v>
      </c>
      <c r="E52" s="23" t="s">
        <v>530</v>
      </c>
      <c r="F52" s="23">
        <f t="shared" si="1"/>
        <v>-463601</v>
      </c>
      <c r="G52" s="23">
        <f>+H52</f>
        <v>36168</v>
      </c>
      <c r="H52" s="23">
        <v>36168</v>
      </c>
      <c r="I52" s="23" t="s">
        <v>530</v>
      </c>
      <c r="J52" s="23" t="s">
        <v>530</v>
      </c>
      <c r="K52" s="23">
        <v>28127</v>
      </c>
      <c r="L52" s="23">
        <v>-471642</v>
      </c>
      <c r="M52" s="24" t="s">
        <v>565</v>
      </c>
      <c r="N52" s="25">
        <v>121033</v>
      </c>
      <c r="O52" s="23" t="s">
        <v>271</v>
      </c>
    </row>
    <row r="53" spans="1:15" s="14" customFormat="1" ht="18.75">
      <c r="A53" s="12"/>
      <c r="B53" s="22" t="str">
        <f t="shared" si="3"/>
        <v>-</v>
      </c>
      <c r="C53" s="22" t="s">
        <v>534</v>
      </c>
      <c r="D53" s="23">
        <v>13800000</v>
      </c>
      <c r="E53" s="23" t="s">
        <v>530</v>
      </c>
      <c r="F53" s="23">
        <f t="shared" si="1"/>
        <v>-1482567</v>
      </c>
      <c r="G53" s="23">
        <v>-1786609</v>
      </c>
      <c r="H53" s="23">
        <v>-1731609</v>
      </c>
      <c r="I53" s="23" t="s">
        <v>530</v>
      </c>
      <c r="J53" s="23" t="s">
        <v>530</v>
      </c>
      <c r="K53" s="23">
        <v>-1461408</v>
      </c>
      <c r="L53" s="23">
        <v>-1212366</v>
      </c>
      <c r="M53" s="24" t="s">
        <v>41</v>
      </c>
      <c r="N53" s="25">
        <v>131018</v>
      </c>
      <c r="O53" s="23" t="s">
        <v>272</v>
      </c>
    </row>
    <row r="54" spans="1:15" s="14" customFormat="1" ht="18.75">
      <c r="A54" s="12"/>
      <c r="B54" s="22" t="str">
        <f t="shared" si="3"/>
        <v>-</v>
      </c>
      <c r="C54" s="22" t="str">
        <f t="shared" si="2"/>
        <v>-</v>
      </c>
      <c r="D54" s="23">
        <v>9836250</v>
      </c>
      <c r="E54" s="23">
        <f t="shared" si="4"/>
        <v>-391260</v>
      </c>
      <c r="F54" s="23">
        <f t="shared" si="1"/>
        <v>-298456</v>
      </c>
      <c r="G54" s="23">
        <f>+H54-188570-12480-16806</f>
        <v>-1020059</v>
      </c>
      <c r="H54" s="23">
        <f>-733598-85411+16806</f>
        <v>-802203</v>
      </c>
      <c r="I54" s="23">
        <v>-428042</v>
      </c>
      <c r="J54" s="23">
        <v>200757</v>
      </c>
      <c r="K54" s="23">
        <v>-237732</v>
      </c>
      <c r="L54" s="23">
        <v>266015</v>
      </c>
      <c r="M54" s="24" t="s">
        <v>42</v>
      </c>
      <c r="N54" s="25">
        <v>131025</v>
      </c>
      <c r="O54" s="23" t="s">
        <v>273</v>
      </c>
    </row>
    <row r="55" spans="1:15" s="14" customFormat="1" ht="18.75">
      <c r="A55" s="12"/>
      <c r="B55" s="22">
        <f t="shared" si="3"/>
        <v>0</v>
      </c>
      <c r="C55" s="22" t="s">
        <v>534</v>
      </c>
      <c r="D55" s="23"/>
      <c r="E55" s="23" t="s">
        <v>530</v>
      </c>
      <c r="F55" s="23">
        <f t="shared" si="1"/>
        <v>139966</v>
      </c>
      <c r="G55" s="23">
        <v>220539</v>
      </c>
      <c r="H55" s="23">
        <v>225039</v>
      </c>
      <c r="I55" s="23" t="s">
        <v>530</v>
      </c>
      <c r="J55" s="23" t="s">
        <v>530</v>
      </c>
      <c r="K55" s="23">
        <v>-9595</v>
      </c>
      <c r="L55" s="23">
        <v>-94668</v>
      </c>
      <c r="M55" s="24" t="s">
        <v>43</v>
      </c>
      <c r="N55" s="25">
        <v>131036</v>
      </c>
      <c r="O55" s="23"/>
    </row>
    <row r="56" spans="1:15" s="14" customFormat="1" ht="18.75">
      <c r="A56" s="12"/>
      <c r="B56" s="22" t="str">
        <f t="shared" si="3"/>
        <v>-</v>
      </c>
      <c r="C56" s="22" t="str">
        <f t="shared" si="2"/>
        <v>-</v>
      </c>
      <c r="D56" s="23">
        <v>45428279.82</v>
      </c>
      <c r="E56" s="23">
        <f t="shared" ref="E56:E71" si="7">+G56-I56+J56</f>
        <v>-577424</v>
      </c>
      <c r="F56" s="23">
        <f t="shared" si="1"/>
        <v>-717462</v>
      </c>
      <c r="G56" s="23">
        <v>-3750338</v>
      </c>
      <c r="H56" s="23">
        <f>-3750338-217621</f>
        <v>-3967959</v>
      </c>
      <c r="I56" s="23">
        <v>-1682878</v>
      </c>
      <c r="J56" s="23">
        <v>1490036</v>
      </c>
      <c r="K56" s="23">
        <f>-1454802+44948</f>
        <v>-1409854</v>
      </c>
      <c r="L56" s="23">
        <f>1860954-20311</f>
        <v>1840643</v>
      </c>
      <c r="M56" s="24" t="s">
        <v>44</v>
      </c>
      <c r="N56" s="25">
        <v>131039</v>
      </c>
      <c r="O56" s="23" t="s">
        <v>274</v>
      </c>
    </row>
    <row r="57" spans="1:15" s="14" customFormat="1" ht="18.75">
      <c r="A57" s="15"/>
      <c r="B57" s="22" t="str">
        <f t="shared" si="3"/>
        <v>-</v>
      </c>
      <c r="C57" s="22" t="str">
        <f t="shared" si="2"/>
        <v>-</v>
      </c>
      <c r="D57" s="23"/>
      <c r="E57" s="23">
        <f t="shared" si="7"/>
        <v>-112208</v>
      </c>
      <c r="F57" s="23">
        <f t="shared" si="1"/>
        <v>-115830</v>
      </c>
      <c r="G57" s="23"/>
      <c r="H57" s="23"/>
      <c r="I57" s="23">
        <v>105402</v>
      </c>
      <c r="J57" s="23">
        <v>-6806</v>
      </c>
      <c r="K57" s="23">
        <v>109024</v>
      </c>
      <c r="L57" s="23">
        <v>-6806</v>
      </c>
      <c r="M57" s="24" t="s">
        <v>45</v>
      </c>
      <c r="N57" s="25">
        <v>131065</v>
      </c>
      <c r="O57" s="23"/>
    </row>
    <row r="58" spans="1:15" s="14" customFormat="1" ht="18.75">
      <c r="A58" s="15"/>
      <c r="B58" s="22" t="str">
        <f t="shared" si="3"/>
        <v>-</v>
      </c>
      <c r="C58" s="22" t="s">
        <v>534</v>
      </c>
      <c r="D58" s="23">
        <v>70500000</v>
      </c>
      <c r="E58" s="23" t="s">
        <v>530</v>
      </c>
      <c r="F58" s="23">
        <f t="shared" si="1"/>
        <v>410519</v>
      </c>
      <c r="G58" s="23">
        <f>+H58</f>
        <v>-395553</v>
      </c>
      <c r="H58" s="23">
        <v>-395553</v>
      </c>
      <c r="I58" s="23" t="s">
        <v>530</v>
      </c>
      <c r="J58" s="23" t="s">
        <v>530</v>
      </c>
      <c r="K58" s="23">
        <v>424070</v>
      </c>
      <c r="L58" s="23">
        <v>1230142</v>
      </c>
      <c r="M58" s="24" t="s">
        <v>46</v>
      </c>
      <c r="N58" s="25">
        <v>131069</v>
      </c>
      <c r="O58" s="23" t="s">
        <v>275</v>
      </c>
    </row>
    <row r="59" spans="1:15" s="14" customFormat="1" ht="18.75">
      <c r="A59" s="12"/>
      <c r="B59" s="22">
        <f t="shared" si="3"/>
        <v>9.5711888140102026</v>
      </c>
      <c r="C59" s="22" t="s">
        <v>534</v>
      </c>
      <c r="D59" s="23">
        <v>43650000</v>
      </c>
      <c r="E59" s="23" t="s">
        <v>530</v>
      </c>
      <c r="F59" s="23">
        <f t="shared" si="1"/>
        <v>5893463</v>
      </c>
      <c r="G59" s="23">
        <v>4560562</v>
      </c>
      <c r="H59" s="23">
        <f>5838128+25000</f>
        <v>5863128</v>
      </c>
      <c r="I59" s="23" t="s">
        <v>530</v>
      </c>
      <c r="J59" s="23" t="s">
        <v>530</v>
      </c>
      <c r="K59" s="23">
        <v>3639770</v>
      </c>
      <c r="L59" s="23">
        <v>3670105</v>
      </c>
      <c r="M59" s="24" t="s">
        <v>47</v>
      </c>
      <c r="N59" s="25">
        <v>131070</v>
      </c>
      <c r="O59" s="23" t="s">
        <v>276</v>
      </c>
    </row>
    <row r="60" spans="1:15" s="14" customFormat="1" ht="18.75">
      <c r="A60" s="12"/>
      <c r="B60" s="22">
        <f t="shared" si="3"/>
        <v>7.0242994700684234</v>
      </c>
      <c r="C60" s="22" t="str">
        <f t="shared" si="2"/>
        <v>-</v>
      </c>
      <c r="D60" s="23">
        <v>6100000</v>
      </c>
      <c r="E60" s="23">
        <f t="shared" si="7"/>
        <v>-245825</v>
      </c>
      <c r="F60" s="23">
        <f t="shared" si="1"/>
        <v>72975</v>
      </c>
      <c r="G60" s="23">
        <v>868414</v>
      </c>
      <c r="H60" s="23">
        <f>894135+60472</f>
        <v>954607</v>
      </c>
      <c r="I60" s="23">
        <v>776252</v>
      </c>
      <c r="J60" s="23">
        <v>-337987</v>
      </c>
      <c r="K60" s="23">
        <v>836593</v>
      </c>
      <c r="L60" s="23">
        <v>-45039</v>
      </c>
      <c r="M60" s="24" t="s">
        <v>48</v>
      </c>
      <c r="N60" s="25">
        <v>131071</v>
      </c>
      <c r="O60" s="23" t="s">
        <v>277</v>
      </c>
    </row>
    <row r="61" spans="1:15" s="14" customFormat="1" ht="18.75" hidden="1">
      <c r="A61" s="12"/>
      <c r="B61" s="22" t="str">
        <f t="shared" si="3"/>
        <v>-</v>
      </c>
      <c r="C61" s="22" t="str">
        <f t="shared" si="2"/>
        <v>-</v>
      </c>
      <c r="D61" s="23">
        <v>100300000</v>
      </c>
      <c r="E61" s="23">
        <f t="shared" si="7"/>
        <v>-60727633</v>
      </c>
      <c r="F61" s="23">
        <f t="shared" si="1"/>
        <v>-60727633</v>
      </c>
      <c r="G61" s="23">
        <v>-60727633</v>
      </c>
      <c r="H61" s="23">
        <v>-60727633</v>
      </c>
      <c r="I61" s="23"/>
      <c r="J61" s="23"/>
      <c r="K61" s="23"/>
      <c r="L61" s="23"/>
      <c r="M61" s="24" t="s">
        <v>49</v>
      </c>
      <c r="N61" s="25">
        <v>131079</v>
      </c>
      <c r="O61" s="23" t="s">
        <v>278</v>
      </c>
    </row>
    <row r="62" spans="1:15" s="14" customFormat="1" ht="18.75">
      <c r="A62" s="12"/>
      <c r="B62" s="22" t="str">
        <f t="shared" si="3"/>
        <v>-</v>
      </c>
      <c r="C62" s="22" t="str">
        <f t="shared" si="2"/>
        <v>-</v>
      </c>
      <c r="D62" s="23">
        <v>36660000</v>
      </c>
      <c r="E62" s="23">
        <f t="shared" si="7"/>
        <v>-7215237</v>
      </c>
      <c r="F62" s="23">
        <f t="shared" si="1"/>
        <v>-7148182</v>
      </c>
      <c r="G62" s="23">
        <v>-3235510</v>
      </c>
      <c r="H62" s="23">
        <f>-3203464+50593+37071</f>
        <v>-3115800</v>
      </c>
      <c r="I62" s="23">
        <v>1602987</v>
      </c>
      <c r="J62" s="23">
        <v>-2376740</v>
      </c>
      <c r="K62" s="23">
        <f>1632393+25492</f>
        <v>1657885</v>
      </c>
      <c r="L62" s="23">
        <f>-2376740+2243</f>
        <v>-2374497</v>
      </c>
      <c r="M62" s="24" t="s">
        <v>50</v>
      </c>
      <c r="N62" s="25">
        <v>131082</v>
      </c>
      <c r="O62" s="23" t="s">
        <v>279</v>
      </c>
    </row>
    <row r="63" spans="1:15" s="14" customFormat="1" ht="18.75">
      <c r="A63" s="12"/>
      <c r="B63" s="22">
        <f t="shared" si="3"/>
        <v>39.287068720317876</v>
      </c>
      <c r="C63" s="22" t="s">
        <v>534</v>
      </c>
      <c r="D63" s="23">
        <v>9116250</v>
      </c>
      <c r="E63" s="23" t="s">
        <v>530</v>
      </c>
      <c r="F63" s="23">
        <f t="shared" si="1"/>
        <v>-110744</v>
      </c>
      <c r="G63" s="23">
        <v>232042</v>
      </c>
      <c r="H63" s="23">
        <v>-232203</v>
      </c>
      <c r="I63" s="23" t="s">
        <v>530</v>
      </c>
      <c r="J63" s="23" t="s">
        <v>530</v>
      </c>
      <c r="K63" s="23">
        <v>-314773</v>
      </c>
      <c r="L63" s="23">
        <f>+-194417+1103</f>
        <v>-193314</v>
      </c>
      <c r="M63" s="24" t="s">
        <v>51</v>
      </c>
      <c r="N63" s="25">
        <v>131088</v>
      </c>
      <c r="O63" s="23" t="s">
        <v>280</v>
      </c>
    </row>
    <row r="64" spans="1:15" s="14" customFormat="1" ht="18.75">
      <c r="A64" s="12"/>
      <c r="B64" s="22" t="str">
        <f t="shared" si="3"/>
        <v>-</v>
      </c>
      <c r="C64" s="22" t="str">
        <f t="shared" si="2"/>
        <v>-</v>
      </c>
      <c r="D64" s="23">
        <v>13899999.999999998</v>
      </c>
      <c r="E64" s="23">
        <f t="shared" si="7"/>
        <v>-1337812</v>
      </c>
      <c r="F64" s="23">
        <f t="shared" si="1"/>
        <v>-1329975</v>
      </c>
      <c r="G64" s="23">
        <v>-114657</v>
      </c>
      <c r="H64" s="23">
        <f>-67850-5977+12890-11616</f>
        <v>-72553</v>
      </c>
      <c r="I64" s="23">
        <v>783398</v>
      </c>
      <c r="J64" s="23">
        <v>-439757</v>
      </c>
      <c r="K64" s="23">
        <v>817665</v>
      </c>
      <c r="L64" s="23">
        <v>-439757</v>
      </c>
      <c r="M64" s="24" t="s">
        <v>52</v>
      </c>
      <c r="N64" s="25">
        <v>131089</v>
      </c>
      <c r="O64" s="23" t="s">
        <v>281</v>
      </c>
    </row>
    <row r="65" spans="1:15" s="14" customFormat="1" ht="18.75">
      <c r="A65" s="15"/>
      <c r="B65" s="22">
        <f t="shared" si="3"/>
        <v>8.426806669928359</v>
      </c>
      <c r="C65" s="22">
        <f t="shared" si="2"/>
        <v>29.763434543696686</v>
      </c>
      <c r="D65" s="23">
        <v>12160000</v>
      </c>
      <c r="E65" s="23">
        <f t="shared" si="7"/>
        <v>408555</v>
      </c>
      <c r="F65" s="23">
        <f t="shared" si="1"/>
        <v>535143</v>
      </c>
      <c r="G65" s="23">
        <v>1443014</v>
      </c>
      <c r="H65" s="23">
        <f>1885931+19382+19382+13543+26600</f>
        <v>1964838</v>
      </c>
      <c r="I65" s="23">
        <v>1349769</v>
      </c>
      <c r="J65" s="23">
        <v>315310</v>
      </c>
      <c r="K65" s="23">
        <v>1813805</v>
      </c>
      <c r="L65" s="23">
        <v>384110</v>
      </c>
      <c r="M65" s="24" t="s">
        <v>53</v>
      </c>
      <c r="N65" s="25">
        <v>131090</v>
      </c>
      <c r="O65" s="23" t="s">
        <v>282</v>
      </c>
    </row>
    <row r="66" spans="1:15" s="14" customFormat="1" ht="18.75">
      <c r="A66" s="12"/>
      <c r="B66" s="22">
        <f t="shared" si="3"/>
        <v>0</v>
      </c>
      <c r="C66" s="22">
        <f t="shared" si="2"/>
        <v>0</v>
      </c>
      <c r="D66" s="23">
        <v>0</v>
      </c>
      <c r="E66" s="23">
        <f t="shared" si="7"/>
        <v>1412793</v>
      </c>
      <c r="F66" s="23">
        <f t="shared" si="1"/>
        <v>1894583</v>
      </c>
      <c r="G66" s="23">
        <v>1466328</v>
      </c>
      <c r="H66" s="23">
        <f>1872445+106510</f>
        <v>1978955</v>
      </c>
      <c r="I66" s="23">
        <v>746835</v>
      </c>
      <c r="J66" s="23">
        <v>693300</v>
      </c>
      <c r="K66" s="23">
        <v>1002949</v>
      </c>
      <c r="L66" s="23">
        <f>918577</f>
        <v>918577</v>
      </c>
      <c r="M66" s="24" t="s">
        <v>54</v>
      </c>
      <c r="N66" s="25">
        <v>131105</v>
      </c>
      <c r="O66" s="23" t="s">
        <v>283</v>
      </c>
    </row>
    <row r="67" spans="1:15" s="14" customFormat="1" ht="18.75">
      <c r="A67" s="12"/>
      <c r="B67" s="22">
        <f t="shared" si="3"/>
        <v>0</v>
      </c>
      <c r="C67" s="22" t="s">
        <v>534</v>
      </c>
      <c r="D67" s="23"/>
      <c r="E67" s="23" t="s">
        <v>530</v>
      </c>
      <c r="F67" s="23">
        <f t="shared" si="1"/>
        <v>149102</v>
      </c>
      <c r="G67" s="23">
        <v>76277</v>
      </c>
      <c r="H67" s="23">
        <f>76397+1560</f>
        <v>77957</v>
      </c>
      <c r="I67" s="23" t="s">
        <v>530</v>
      </c>
      <c r="J67" s="23" t="s">
        <v>530</v>
      </c>
      <c r="K67" s="23">
        <v>-108266</v>
      </c>
      <c r="L67" s="23">
        <v>-37121</v>
      </c>
      <c r="M67" s="24" t="s">
        <v>55</v>
      </c>
      <c r="N67" s="25">
        <v>131210</v>
      </c>
      <c r="O67" s="23"/>
    </row>
    <row r="68" spans="1:15" s="14" customFormat="1" ht="18.75">
      <c r="A68" s="12"/>
      <c r="B68" s="22" t="str">
        <f t="shared" si="3"/>
        <v>-</v>
      </c>
      <c r="C68" s="22" t="str">
        <f t="shared" si="2"/>
        <v>-</v>
      </c>
      <c r="D68" s="23">
        <v>11786846.869999999</v>
      </c>
      <c r="E68" s="23">
        <f t="shared" si="7"/>
        <v>-1775618</v>
      </c>
      <c r="F68" s="23">
        <f t="shared" si="1"/>
        <v>-1818126</v>
      </c>
      <c r="G68" s="23">
        <f>+H68</f>
        <v>-4764724</v>
      </c>
      <c r="H68" s="23">
        <v>-4764724</v>
      </c>
      <c r="I68" s="23">
        <v>-2335300</v>
      </c>
      <c r="J68" s="23">
        <v>653806</v>
      </c>
      <c r="K68" s="23">
        <v>-2292792</v>
      </c>
      <c r="L68" s="23">
        <v>653806</v>
      </c>
      <c r="M68" s="24" t="s">
        <v>56</v>
      </c>
      <c r="N68" s="25">
        <v>131224</v>
      </c>
      <c r="O68" s="23" t="s">
        <v>284</v>
      </c>
    </row>
    <row r="69" spans="1:15" s="14" customFormat="1" ht="18.75">
      <c r="A69" s="12"/>
      <c r="B69" s="22" t="str">
        <f t="shared" si="3"/>
        <v>-</v>
      </c>
      <c r="C69" s="22" t="str">
        <f t="shared" si="2"/>
        <v>-</v>
      </c>
      <c r="D69" s="23">
        <v>9480000</v>
      </c>
      <c r="E69" s="23">
        <f t="shared" si="7"/>
        <v>-1016697</v>
      </c>
      <c r="F69" s="23">
        <f t="shared" si="1"/>
        <v>-1016697</v>
      </c>
      <c r="G69" s="23">
        <v>-2951738</v>
      </c>
      <c r="H69" s="23">
        <f>-2951738</f>
        <v>-2951738</v>
      </c>
      <c r="I69" s="23">
        <v>-2395866</v>
      </c>
      <c r="J69" s="23">
        <v>-460825</v>
      </c>
      <c r="K69" s="23">
        <v>-2395866</v>
      </c>
      <c r="L69" s="23">
        <v>-460825</v>
      </c>
      <c r="M69" s="24" t="s">
        <v>57</v>
      </c>
      <c r="N69" s="25">
        <v>131226</v>
      </c>
      <c r="O69" s="23" t="s">
        <v>285</v>
      </c>
    </row>
    <row r="70" spans="1:15" s="14" customFormat="1" ht="18.75">
      <c r="A70" s="12"/>
      <c r="B70" s="22">
        <f t="shared" si="3"/>
        <v>3.3395283010466597</v>
      </c>
      <c r="C70" s="22" t="s">
        <v>534</v>
      </c>
      <c r="D70" s="23">
        <v>29250000</v>
      </c>
      <c r="E70" s="23" t="s">
        <v>530</v>
      </c>
      <c r="F70" s="23">
        <f t="shared" si="1"/>
        <v>151487</v>
      </c>
      <c r="G70" s="23">
        <v>8758722</v>
      </c>
      <c r="H70" s="23">
        <v>9058722</v>
      </c>
      <c r="I70" s="23" t="s">
        <v>530</v>
      </c>
      <c r="J70" s="23" t="s">
        <v>530</v>
      </c>
      <c r="K70" s="23">
        <v>9191437</v>
      </c>
      <c r="L70" s="23">
        <v>284202</v>
      </c>
      <c r="M70" s="24" t="s">
        <v>58</v>
      </c>
      <c r="N70" s="25">
        <v>131227</v>
      </c>
      <c r="O70" s="23" t="s">
        <v>286</v>
      </c>
    </row>
    <row r="71" spans="1:15" s="14" customFormat="1" ht="18.75">
      <c r="A71" s="12"/>
      <c r="B71" s="22">
        <f t="shared" si="3"/>
        <v>14.601660675469812</v>
      </c>
      <c r="C71" s="22">
        <f t="shared" si="2"/>
        <v>42.594674348345393</v>
      </c>
      <c r="D71" s="23">
        <v>14550000</v>
      </c>
      <c r="E71" s="23">
        <f t="shared" si="7"/>
        <v>341592</v>
      </c>
      <c r="F71" s="23">
        <f t="shared" si="1"/>
        <v>595039</v>
      </c>
      <c r="G71" s="23">
        <v>996462</v>
      </c>
      <c r="H71" s="23">
        <v>1599909</v>
      </c>
      <c r="I71" s="23">
        <v>1216864</v>
      </c>
      <c r="J71" s="23">
        <v>561994</v>
      </c>
      <c r="K71" s="23">
        <v>1566864</v>
      </c>
      <c r="L71" s="23">
        <v>561994</v>
      </c>
      <c r="M71" s="24" t="s">
        <v>59</v>
      </c>
      <c r="N71" s="25">
        <v>131231</v>
      </c>
      <c r="O71" s="23" t="s">
        <v>287</v>
      </c>
    </row>
    <row r="72" spans="1:15" s="14" customFormat="1" ht="18.75" hidden="1">
      <c r="A72" s="12"/>
      <c r="B72" s="22" t="str">
        <f t="shared" ref="B72:B137" si="8">+IF(G72&gt;0,+D72/G72,"-")</f>
        <v>-</v>
      </c>
      <c r="C72" s="22" t="str">
        <f t="shared" ref="C72:C137" si="9">+IF(E72&gt;0,+D72/E72,"-")</f>
        <v>-</v>
      </c>
      <c r="D72" s="23"/>
      <c r="E72" s="23">
        <f t="shared" ref="E72:E137" si="10">+G72-I72+J72</f>
        <v>0</v>
      </c>
      <c r="F72" s="23">
        <f t="shared" ref="F72:F137" si="11">+H72-K72+L72</f>
        <v>0</v>
      </c>
      <c r="G72" s="23"/>
      <c r="H72" s="23"/>
      <c r="I72" s="23"/>
      <c r="J72" s="23"/>
      <c r="K72" s="23"/>
      <c r="L72" s="23"/>
      <c r="M72" s="24" t="s">
        <v>456</v>
      </c>
      <c r="N72" s="25">
        <v>131233</v>
      </c>
      <c r="O72" s="23"/>
    </row>
    <row r="73" spans="1:15" s="14" customFormat="1" ht="18.75">
      <c r="A73" s="12"/>
      <c r="B73" s="22" t="str">
        <f t="shared" si="8"/>
        <v>-</v>
      </c>
      <c r="C73" s="22" t="s">
        <v>534</v>
      </c>
      <c r="D73" s="23">
        <v>1650000</v>
      </c>
      <c r="E73" s="23" t="s">
        <v>530</v>
      </c>
      <c r="F73" s="23">
        <f t="shared" si="11"/>
        <v>-559484</v>
      </c>
      <c r="G73" s="23">
        <v>-421717</v>
      </c>
      <c r="H73" s="23">
        <v>-415119</v>
      </c>
      <c r="I73" s="23" t="s">
        <v>530</v>
      </c>
      <c r="J73" s="23" t="s">
        <v>530</v>
      </c>
      <c r="K73" s="23">
        <v>-182396</v>
      </c>
      <c r="L73" s="23">
        <v>-326761</v>
      </c>
      <c r="M73" s="24" t="s">
        <v>60</v>
      </c>
      <c r="N73" s="25">
        <v>131244</v>
      </c>
      <c r="O73" s="23" t="s">
        <v>288</v>
      </c>
    </row>
    <row r="74" spans="1:15" s="14" customFormat="1" ht="18.75">
      <c r="A74" s="12"/>
      <c r="B74" s="22" t="str">
        <f t="shared" si="8"/>
        <v>-</v>
      </c>
      <c r="C74" s="22" t="s">
        <v>534</v>
      </c>
      <c r="D74" s="23">
        <v>7440000</v>
      </c>
      <c r="E74" s="23" t="s">
        <v>530</v>
      </c>
      <c r="F74" s="23">
        <f t="shared" si="11"/>
        <v>-4191586</v>
      </c>
      <c r="G74" s="23">
        <v>-3953475</v>
      </c>
      <c r="H74" s="23">
        <v>-3953475</v>
      </c>
      <c r="I74" s="23" t="s">
        <v>530</v>
      </c>
      <c r="J74" s="23" t="s">
        <v>530</v>
      </c>
      <c r="K74" s="23">
        <v>21524</v>
      </c>
      <c r="L74" s="23">
        <v>-216587</v>
      </c>
      <c r="M74" s="24" t="s">
        <v>464</v>
      </c>
      <c r="N74" s="25">
        <v>131248</v>
      </c>
      <c r="O74" s="23" t="s">
        <v>289</v>
      </c>
    </row>
    <row r="75" spans="1:15" s="14" customFormat="1" ht="18.75">
      <c r="A75" s="12"/>
      <c r="B75" s="22" t="str">
        <f t="shared" si="8"/>
        <v>-</v>
      </c>
      <c r="C75" s="22" t="str">
        <f t="shared" si="9"/>
        <v>-</v>
      </c>
      <c r="D75" s="23">
        <v>9000000</v>
      </c>
      <c r="E75" s="23">
        <f t="shared" si="10"/>
        <v>-262407</v>
      </c>
      <c r="F75" s="23">
        <f t="shared" si="11"/>
        <v>-504856</v>
      </c>
      <c r="G75" s="23">
        <v>-308873</v>
      </c>
      <c r="H75" s="23">
        <f>+-308873+7584</f>
        <v>-301289</v>
      </c>
      <c r="I75" s="23">
        <f>89772-22443</f>
        <v>67329</v>
      </c>
      <c r="J75" s="23">
        <v>113795</v>
      </c>
      <c r="K75" s="23">
        <f>89772-0</f>
        <v>89772</v>
      </c>
      <c r="L75" s="23">
        <f>-113726-69</f>
        <v>-113795</v>
      </c>
      <c r="M75" s="24" t="s">
        <v>61</v>
      </c>
      <c r="N75" s="25">
        <v>131249</v>
      </c>
      <c r="O75" s="23" t="s">
        <v>290</v>
      </c>
    </row>
    <row r="76" spans="1:15" s="14" customFormat="1" ht="18.75">
      <c r="A76" s="12"/>
      <c r="B76" s="22">
        <f t="shared" si="8"/>
        <v>13.568994094660695</v>
      </c>
      <c r="C76" s="22">
        <f t="shared" si="9"/>
        <v>19.671701165001856</v>
      </c>
      <c r="D76" s="23">
        <v>14400000</v>
      </c>
      <c r="E76" s="23">
        <f t="shared" si="10"/>
        <v>732016</v>
      </c>
      <c r="F76" s="23">
        <f t="shared" si="11"/>
        <v>1074898</v>
      </c>
      <c r="G76" s="23">
        <v>1061243</v>
      </c>
      <c r="H76" s="23">
        <v>1497395</v>
      </c>
      <c r="I76" s="23">
        <v>810447</v>
      </c>
      <c r="J76" s="23">
        <v>481220</v>
      </c>
      <c r="K76" s="23">
        <v>1040047</v>
      </c>
      <c r="L76" s="23">
        <v>617550</v>
      </c>
      <c r="M76" s="24" t="s">
        <v>62</v>
      </c>
      <c r="N76" s="25">
        <v>131250</v>
      </c>
      <c r="O76" s="23" t="s">
        <v>291</v>
      </c>
    </row>
    <row r="77" spans="1:15" s="14" customFormat="1" ht="18.75">
      <c r="A77" s="12"/>
      <c r="B77" s="22" t="str">
        <f t="shared" si="8"/>
        <v>-</v>
      </c>
      <c r="C77" s="22" t="s">
        <v>534</v>
      </c>
      <c r="D77" s="23">
        <v>26500000</v>
      </c>
      <c r="E77" s="23" t="s">
        <v>530</v>
      </c>
      <c r="F77" s="23">
        <f t="shared" si="11"/>
        <v>-3770508</v>
      </c>
      <c r="G77" s="23">
        <v>-2724122</v>
      </c>
      <c r="H77" s="23">
        <v>-2646450</v>
      </c>
      <c r="I77" s="23" t="s">
        <v>530</v>
      </c>
      <c r="J77" s="23" t="s">
        <v>530</v>
      </c>
      <c r="K77" s="23">
        <v>-1837311</v>
      </c>
      <c r="L77" s="23">
        <f>-2961369</f>
        <v>-2961369</v>
      </c>
      <c r="M77" s="24" t="s">
        <v>63</v>
      </c>
      <c r="N77" s="25">
        <v>131251</v>
      </c>
      <c r="O77" s="23" t="s">
        <v>292</v>
      </c>
    </row>
    <row r="78" spans="1:15" s="14" customFormat="1" ht="18.75">
      <c r="A78" s="12"/>
      <c r="B78" s="22">
        <f t="shared" si="8"/>
        <v>7.7413866439812846</v>
      </c>
      <c r="C78" s="22">
        <f t="shared" si="9"/>
        <v>6.6765578635014835</v>
      </c>
      <c r="D78" s="23">
        <v>1638000</v>
      </c>
      <c r="E78" s="23">
        <f t="shared" si="10"/>
        <v>245336</v>
      </c>
      <c r="F78" s="23">
        <f t="shared" si="11"/>
        <v>334055</v>
      </c>
      <c r="G78" s="23">
        <v>211590</v>
      </c>
      <c r="H78" s="23">
        <v>310564</v>
      </c>
      <c r="I78" s="23">
        <v>85169</v>
      </c>
      <c r="J78" s="23">
        <v>118915</v>
      </c>
      <c r="K78" s="23">
        <v>119019</v>
      </c>
      <c r="L78" s="23">
        <v>142510</v>
      </c>
      <c r="M78" s="24" t="s">
        <v>64</v>
      </c>
      <c r="N78" s="25">
        <v>131252</v>
      </c>
      <c r="O78" s="23" t="s">
        <v>293</v>
      </c>
    </row>
    <row r="79" spans="1:15" s="14" customFormat="1" ht="18.75">
      <c r="A79" s="12"/>
      <c r="B79" s="22" t="str">
        <f t="shared" si="8"/>
        <v>-</v>
      </c>
      <c r="C79" s="22">
        <f t="shared" si="9"/>
        <v>91.547529470780049</v>
      </c>
      <c r="D79" s="23">
        <v>20440000.000000004</v>
      </c>
      <c r="E79" s="23">
        <f t="shared" si="10"/>
        <v>223272</v>
      </c>
      <c r="F79" s="23">
        <f t="shared" si="11"/>
        <v>195729</v>
      </c>
      <c r="G79" s="23">
        <v>-652182</v>
      </c>
      <c r="H79" s="23">
        <v>-651985</v>
      </c>
      <c r="I79" s="23">
        <v>-448749</v>
      </c>
      <c r="J79" s="23">
        <v>426705</v>
      </c>
      <c r="K79" s="23">
        <f>-421009-0</f>
        <v>-421009</v>
      </c>
      <c r="L79" s="23">
        <f>432732-6027</f>
        <v>426705</v>
      </c>
      <c r="M79" s="24" t="s">
        <v>65</v>
      </c>
      <c r="N79" s="25">
        <v>131258</v>
      </c>
      <c r="O79" s="23" t="s">
        <v>294</v>
      </c>
    </row>
    <row r="80" spans="1:15" s="14" customFormat="1" ht="18.75">
      <c r="A80" s="15"/>
      <c r="B80" s="22" t="str">
        <f t="shared" si="8"/>
        <v>-</v>
      </c>
      <c r="C80" s="22" t="s">
        <v>534</v>
      </c>
      <c r="D80" s="23">
        <v>940000</v>
      </c>
      <c r="E80" s="23" t="s">
        <v>530</v>
      </c>
      <c r="F80" s="23">
        <f t="shared" si="11"/>
        <v>837482</v>
      </c>
      <c r="G80" s="23">
        <v>-14189</v>
      </c>
      <c r="H80" s="23">
        <v>-14189</v>
      </c>
      <c r="I80" s="23" t="s">
        <v>530</v>
      </c>
      <c r="J80" s="23" t="s">
        <v>530</v>
      </c>
      <c r="K80" s="23">
        <v>-852620</v>
      </c>
      <c r="L80" s="23">
        <v>-949</v>
      </c>
      <c r="M80" s="24" t="s">
        <v>477</v>
      </c>
      <c r="N80" s="25">
        <v>131260</v>
      </c>
      <c r="O80" s="23" t="s">
        <v>295</v>
      </c>
    </row>
    <row r="81" spans="1:19" ht="18.75">
      <c r="B81" s="22">
        <f t="shared" si="8"/>
        <v>56.592615271487546</v>
      </c>
      <c r="C81" s="22" t="str">
        <f t="shared" si="9"/>
        <v>-</v>
      </c>
      <c r="D81" s="23">
        <v>13545329.280000001</v>
      </c>
      <c r="E81" s="23">
        <f t="shared" si="10"/>
        <v>-910916</v>
      </c>
      <c r="F81" s="23">
        <f t="shared" si="11"/>
        <v>-825587</v>
      </c>
      <c r="G81" s="23">
        <v>239348</v>
      </c>
      <c r="H81" s="23">
        <f>373919+29794</f>
        <v>403713</v>
      </c>
      <c r="I81" s="23">
        <v>213572</v>
      </c>
      <c r="J81" s="23">
        <v>-936692</v>
      </c>
      <c r="K81" s="23">
        <v>306608</v>
      </c>
      <c r="L81" s="23">
        <v>-922692</v>
      </c>
      <c r="M81" s="24" t="s">
        <v>489</v>
      </c>
      <c r="N81" s="25">
        <v>131263</v>
      </c>
      <c r="O81" s="23" t="s">
        <v>490</v>
      </c>
      <c r="Q81" s="14"/>
      <c r="R81" s="14"/>
      <c r="S81" s="14"/>
    </row>
    <row r="82" spans="1:19" ht="18.75">
      <c r="B82" s="22">
        <f t="shared" si="8"/>
        <v>4416</v>
      </c>
      <c r="C82" s="22" t="str">
        <f t="shared" si="9"/>
        <v>-</v>
      </c>
      <c r="D82" s="23">
        <v>5520000</v>
      </c>
      <c r="E82" s="23">
        <f t="shared" si="10"/>
        <v>-12025</v>
      </c>
      <c r="F82" s="23">
        <f t="shared" si="11"/>
        <v>-11771</v>
      </c>
      <c r="G82" s="23">
        <v>1250</v>
      </c>
      <c r="H82" s="23">
        <v>1504</v>
      </c>
      <c r="I82" s="23">
        <v>-23764</v>
      </c>
      <c r="J82" s="23">
        <v>-37039</v>
      </c>
      <c r="K82" s="23">
        <v>-23764</v>
      </c>
      <c r="L82" s="23">
        <v>-37039</v>
      </c>
      <c r="M82" s="24" t="s">
        <v>479</v>
      </c>
      <c r="N82" s="25">
        <v>131267</v>
      </c>
      <c r="O82" s="23" t="s">
        <v>478</v>
      </c>
      <c r="Q82" s="14"/>
      <c r="R82" s="14"/>
      <c r="S82" s="14"/>
    </row>
    <row r="83" spans="1:19" ht="18.75">
      <c r="B83" s="22" t="str">
        <f t="shared" si="8"/>
        <v>-</v>
      </c>
      <c r="C83" s="22" t="s">
        <v>534</v>
      </c>
      <c r="D83" s="23">
        <v>4590000</v>
      </c>
      <c r="E83" s="23" t="s">
        <v>530</v>
      </c>
      <c r="F83" s="23">
        <f t="shared" si="11"/>
        <v>-3259819</v>
      </c>
      <c r="G83" s="23">
        <v>-2604413</v>
      </c>
      <c r="H83" s="23">
        <v>-2554328</v>
      </c>
      <c r="I83" s="23" t="s">
        <v>530</v>
      </c>
      <c r="J83" s="23" t="s">
        <v>530</v>
      </c>
      <c r="K83" s="23">
        <v>-435649</v>
      </c>
      <c r="L83" s="23">
        <v>-1141140</v>
      </c>
      <c r="M83" s="24" t="s">
        <v>66</v>
      </c>
      <c r="N83" s="25">
        <v>131268</v>
      </c>
      <c r="O83" s="23" t="s">
        <v>296</v>
      </c>
      <c r="Q83" s="14"/>
      <c r="R83" s="14"/>
      <c r="S83" s="14"/>
    </row>
    <row r="84" spans="1:19" ht="18.75">
      <c r="A84" s="15"/>
      <c r="B84" s="22" t="str">
        <f t="shared" si="8"/>
        <v>-</v>
      </c>
      <c r="C84" s="22" t="str">
        <f t="shared" si="9"/>
        <v>-</v>
      </c>
      <c r="D84" s="23">
        <v>45000000</v>
      </c>
      <c r="E84" s="23">
        <f t="shared" si="10"/>
        <v>-3317779</v>
      </c>
      <c r="F84" s="23">
        <f t="shared" si="11"/>
        <v>-3154844</v>
      </c>
      <c r="G84" s="23">
        <v>-23445489</v>
      </c>
      <c r="H84" s="23">
        <f>+-23331939+3212</f>
        <v>-23328727</v>
      </c>
      <c r="I84" s="23">
        <f>+K84</f>
        <v>-11799328</v>
      </c>
      <c r="J84" s="23">
        <v>8328382</v>
      </c>
      <c r="K84" s="23">
        <f>-11800681+1353</f>
        <v>-11799328</v>
      </c>
      <c r="L84" s="23">
        <v>8374555</v>
      </c>
      <c r="M84" s="24" t="s">
        <v>67</v>
      </c>
      <c r="N84" s="25">
        <v>131269</v>
      </c>
      <c r="O84" s="23" t="s">
        <v>297</v>
      </c>
      <c r="Q84" s="14"/>
      <c r="R84" s="14"/>
      <c r="S84" s="14"/>
    </row>
    <row r="85" spans="1:19" ht="18.75">
      <c r="B85" s="22" t="str">
        <f t="shared" si="8"/>
        <v>-</v>
      </c>
      <c r="C85" s="22" t="s">
        <v>534</v>
      </c>
      <c r="D85" s="23">
        <v>11000000</v>
      </c>
      <c r="E85" s="23" t="s">
        <v>530</v>
      </c>
      <c r="F85" s="23">
        <f t="shared" si="11"/>
        <v>-145886</v>
      </c>
      <c r="G85" s="23">
        <v>-173807</v>
      </c>
      <c r="H85" s="23">
        <v>-173807</v>
      </c>
      <c r="I85" s="23" t="s">
        <v>530</v>
      </c>
      <c r="J85" s="23" t="s">
        <v>530</v>
      </c>
      <c r="K85" s="23">
        <v>-110420</v>
      </c>
      <c r="L85" s="23">
        <v>-82499</v>
      </c>
      <c r="M85" s="24" t="s">
        <v>471</v>
      </c>
      <c r="N85" s="25">
        <v>131271</v>
      </c>
      <c r="O85" s="23" t="s">
        <v>521</v>
      </c>
      <c r="Q85" s="14"/>
      <c r="R85" s="14"/>
      <c r="S85" s="14"/>
    </row>
    <row r="86" spans="1:19" ht="18.75">
      <c r="B86" s="22" t="str">
        <f t="shared" si="8"/>
        <v>-</v>
      </c>
      <c r="C86" s="22" t="s">
        <v>534</v>
      </c>
      <c r="D86" s="23">
        <v>8850000</v>
      </c>
      <c r="E86" s="23" t="s">
        <v>530</v>
      </c>
      <c r="F86" s="23">
        <f t="shared" si="11"/>
        <v>-158379</v>
      </c>
      <c r="G86" s="23">
        <v>-153339</v>
      </c>
      <c r="H86" s="23">
        <v>-153339</v>
      </c>
      <c r="I86" s="23" t="s">
        <v>530</v>
      </c>
      <c r="J86" s="23" t="s">
        <v>530</v>
      </c>
      <c r="K86" s="23">
        <f>10497+4868</f>
        <v>15365</v>
      </c>
      <c r="L86" s="23">
        <f>13784-3459</f>
        <v>10325</v>
      </c>
      <c r="M86" s="24" t="s">
        <v>466</v>
      </c>
      <c r="N86" s="25">
        <v>131274</v>
      </c>
      <c r="O86" s="23" t="s">
        <v>467</v>
      </c>
      <c r="Q86" s="14"/>
      <c r="R86" s="14"/>
      <c r="S86" s="14"/>
    </row>
    <row r="87" spans="1:19" ht="18.75">
      <c r="B87" s="22" t="str">
        <f t="shared" si="8"/>
        <v>-</v>
      </c>
      <c r="C87" s="22" t="str">
        <f t="shared" si="9"/>
        <v>-</v>
      </c>
      <c r="D87" s="23">
        <v>4400000</v>
      </c>
      <c r="E87" s="23">
        <f t="shared" si="10"/>
        <v>-409947</v>
      </c>
      <c r="F87" s="23">
        <f t="shared" si="11"/>
        <v>-410044</v>
      </c>
      <c r="G87" s="23">
        <v>-712152</v>
      </c>
      <c r="H87" s="23">
        <v>-712152</v>
      </c>
      <c r="I87" s="23">
        <v>-345858</v>
      </c>
      <c r="J87" s="23">
        <v>-43653</v>
      </c>
      <c r="K87" s="23">
        <v>-345761</v>
      </c>
      <c r="L87" s="23">
        <v>-43653</v>
      </c>
      <c r="M87" s="24" t="s">
        <v>487</v>
      </c>
      <c r="N87" s="25">
        <v>131275</v>
      </c>
      <c r="O87" s="23" t="s">
        <v>488</v>
      </c>
      <c r="Q87" s="14"/>
      <c r="R87" s="14"/>
      <c r="S87" s="14"/>
    </row>
    <row r="88" spans="1:19" ht="18.75" hidden="1">
      <c r="B88" s="22" t="str">
        <f t="shared" si="8"/>
        <v>-</v>
      </c>
      <c r="C88" s="22" t="str">
        <f t="shared" si="9"/>
        <v>-</v>
      </c>
      <c r="D88" s="23">
        <v>18500000</v>
      </c>
      <c r="E88" s="23">
        <f t="shared" si="10"/>
        <v>-9581740</v>
      </c>
      <c r="F88" s="23">
        <f t="shared" si="11"/>
        <v>-9133135</v>
      </c>
      <c r="G88" s="23">
        <v>-9581740</v>
      </c>
      <c r="H88" s="23">
        <v>-9133135</v>
      </c>
      <c r="I88" s="23"/>
      <c r="J88" s="23"/>
      <c r="K88" s="23"/>
      <c r="L88" s="23"/>
      <c r="M88" s="24" t="s">
        <v>503</v>
      </c>
      <c r="N88" s="25">
        <v>131280</v>
      </c>
      <c r="O88" s="23" t="s">
        <v>502</v>
      </c>
      <c r="Q88" s="14"/>
      <c r="R88" s="14"/>
      <c r="S88" s="14"/>
    </row>
    <row r="89" spans="1:19" ht="18.75" hidden="1">
      <c r="B89" s="22">
        <f t="shared" si="8"/>
        <v>32.465056060893495</v>
      </c>
      <c r="C89" s="22">
        <f t="shared" si="9"/>
        <v>32.465056060893495</v>
      </c>
      <c r="D89" s="23">
        <v>16600000</v>
      </c>
      <c r="E89" s="23">
        <f t="shared" si="10"/>
        <v>511319</v>
      </c>
      <c r="F89" s="23">
        <f t="shared" si="11"/>
        <v>673833</v>
      </c>
      <c r="G89" s="23">
        <v>511319</v>
      </c>
      <c r="H89" s="23">
        <f>622285+151548-100000</f>
        <v>673833</v>
      </c>
      <c r="I89" s="23"/>
      <c r="J89" s="23"/>
      <c r="K89" s="23"/>
      <c r="L89" s="23"/>
      <c r="M89" s="24" t="s">
        <v>504</v>
      </c>
      <c r="N89" s="25">
        <v>131282</v>
      </c>
      <c r="O89" s="23" t="s">
        <v>505</v>
      </c>
      <c r="Q89" s="14"/>
      <c r="R89" s="14"/>
      <c r="S89" s="14"/>
    </row>
    <row r="90" spans="1:19" s="26" customFormat="1" ht="20.25">
      <c r="B90" s="27" t="str">
        <f>+IF(G90&gt;0,+D90/G90,"-")</f>
        <v>-</v>
      </c>
      <c r="C90" s="27" t="str">
        <f>+IF(E90&gt;0,+D90/E90,"-")</f>
        <v>-</v>
      </c>
      <c r="D90" s="28">
        <f>SUM(D52:D89)</f>
        <v>647030955.97000003</v>
      </c>
      <c r="E90" s="28">
        <f>+G90-I90+J90</f>
        <v>-82362559</v>
      </c>
      <c r="F90" s="28">
        <f>+H90-K90+L90</f>
        <v>-88396898</v>
      </c>
      <c r="G90" s="28">
        <f t="shared" ref="G90:L90" si="12">SUM(G52:G89)</f>
        <v>-102809041</v>
      </c>
      <c r="H90" s="28">
        <f t="shared" si="12"/>
        <v>-98153638</v>
      </c>
      <c r="I90" s="28">
        <f t="shared" si="12"/>
        <v>-11701761</v>
      </c>
      <c r="J90" s="28">
        <f t="shared" si="12"/>
        <v>8744721</v>
      </c>
      <c r="K90" s="28">
        <f t="shared" si="12"/>
        <v>-1558020</v>
      </c>
      <c r="L90" s="28">
        <f t="shared" si="12"/>
        <v>8198720</v>
      </c>
      <c r="M90" s="29" t="s">
        <v>539</v>
      </c>
      <c r="N90" s="30"/>
      <c r="O90" s="28"/>
    </row>
    <row r="91" spans="1:19" s="15" customFormat="1">
      <c r="A91" s="12"/>
      <c r="M91" s="11"/>
      <c r="Q91" s="35"/>
      <c r="R91" s="36"/>
      <c r="S91" s="37"/>
    </row>
    <row r="92" spans="1:19" ht="18.75" hidden="1">
      <c r="B92" s="22" t="str">
        <f t="shared" si="8"/>
        <v>-</v>
      </c>
      <c r="C92" s="22" t="str">
        <f t="shared" si="9"/>
        <v>-</v>
      </c>
      <c r="D92" s="23">
        <v>12200000</v>
      </c>
      <c r="E92" s="23">
        <f t="shared" si="10"/>
        <v>-6820135</v>
      </c>
      <c r="F92" s="23">
        <f t="shared" si="11"/>
        <v>-6820135</v>
      </c>
      <c r="G92" s="23">
        <v>-6820135</v>
      </c>
      <c r="H92" s="23">
        <v>-6820135</v>
      </c>
      <c r="I92" s="23"/>
      <c r="J92" s="23"/>
      <c r="K92" s="23"/>
      <c r="L92" s="23"/>
      <c r="M92" s="24" t="s">
        <v>68</v>
      </c>
      <c r="N92" s="25">
        <v>111027</v>
      </c>
      <c r="O92" s="23" t="s">
        <v>298</v>
      </c>
      <c r="Q92" s="14"/>
      <c r="R92" s="14"/>
      <c r="S92" s="14"/>
    </row>
    <row r="93" spans="1:19" ht="18.75">
      <c r="A93" s="15"/>
      <c r="B93" s="22">
        <f t="shared" si="8"/>
        <v>23.09014563895564</v>
      </c>
      <c r="C93" s="22" t="s">
        <v>534</v>
      </c>
      <c r="D93" s="23">
        <v>2700000</v>
      </c>
      <c r="E93" s="23" t="s">
        <v>530</v>
      </c>
      <c r="F93" s="23">
        <f t="shared" si="11"/>
        <v>-33914</v>
      </c>
      <c r="G93" s="23">
        <f>146642-1466-1466-1033-25744</f>
        <v>116933</v>
      </c>
      <c r="H93" s="23">
        <v>146642</v>
      </c>
      <c r="I93" s="23" t="s">
        <v>530</v>
      </c>
      <c r="J93" s="23" t="s">
        <v>530</v>
      </c>
      <c r="K93" s="23">
        <v>171632</v>
      </c>
      <c r="L93" s="23">
        <v>-8924</v>
      </c>
      <c r="M93" s="24" t="s">
        <v>69</v>
      </c>
      <c r="N93" s="25">
        <v>131011</v>
      </c>
      <c r="O93" s="23" t="s">
        <v>299</v>
      </c>
      <c r="Q93" s="14"/>
      <c r="R93" s="14"/>
      <c r="S93" s="14"/>
    </row>
    <row r="94" spans="1:19" ht="18.75">
      <c r="A94" s="15"/>
      <c r="B94" s="22" t="str">
        <f t="shared" si="8"/>
        <v>-</v>
      </c>
      <c r="C94" s="22" t="s">
        <v>534</v>
      </c>
      <c r="D94" s="23">
        <v>39900000</v>
      </c>
      <c r="E94" s="23" t="s">
        <v>530</v>
      </c>
      <c r="F94" s="23">
        <f t="shared" si="11"/>
        <v>-725716</v>
      </c>
      <c r="G94" s="23">
        <f>+H94-285476-5579</f>
        <v>-762183</v>
      </c>
      <c r="H94" s="23">
        <f>-554374+77667+5579</f>
        <v>-471128</v>
      </c>
      <c r="I94" s="23" t="s">
        <v>530</v>
      </c>
      <c r="J94" s="23" t="s">
        <v>530</v>
      </c>
      <c r="K94" s="23">
        <v>-242841</v>
      </c>
      <c r="L94" s="23">
        <f>-497429</f>
        <v>-497429</v>
      </c>
      <c r="M94" s="24" t="s">
        <v>70</v>
      </c>
      <c r="N94" s="25">
        <v>131017</v>
      </c>
      <c r="O94" s="23" t="s">
        <v>300</v>
      </c>
      <c r="Q94" s="14"/>
      <c r="R94" s="14"/>
      <c r="S94" s="14"/>
    </row>
    <row r="95" spans="1:19" ht="18.75">
      <c r="B95" s="22">
        <f t="shared" si="8"/>
        <v>6.5786238582100562</v>
      </c>
      <c r="C95" s="22" t="s">
        <v>534</v>
      </c>
      <c r="D95" s="23">
        <v>4950000</v>
      </c>
      <c r="E95" s="23" t="s">
        <v>530</v>
      </c>
      <c r="F95" s="23">
        <f t="shared" si="11"/>
        <v>120037</v>
      </c>
      <c r="G95" s="23">
        <v>752437</v>
      </c>
      <c r="H95" s="23">
        <v>752437</v>
      </c>
      <c r="I95" s="23" t="s">
        <v>530</v>
      </c>
      <c r="J95" s="23" t="s">
        <v>530</v>
      </c>
      <c r="K95" s="23">
        <v>229556</v>
      </c>
      <c r="L95" s="23">
        <v>-402844</v>
      </c>
      <c r="M95" s="24" t="s">
        <v>71</v>
      </c>
      <c r="N95" s="25">
        <v>131027</v>
      </c>
      <c r="O95" s="23" t="s">
        <v>301</v>
      </c>
      <c r="Q95" s="14"/>
      <c r="R95" s="14"/>
      <c r="S95" s="14"/>
    </row>
    <row r="96" spans="1:19" ht="18.75">
      <c r="B96" s="22">
        <f t="shared" si="8"/>
        <v>109.520745331079</v>
      </c>
      <c r="C96" s="22" t="s">
        <v>534</v>
      </c>
      <c r="D96" s="23">
        <v>59400000</v>
      </c>
      <c r="E96" s="23" t="s">
        <v>530</v>
      </c>
      <c r="F96" s="23">
        <f t="shared" si="11"/>
        <v>-600949</v>
      </c>
      <c r="G96" s="23">
        <v>542363</v>
      </c>
      <c r="H96" s="23">
        <f>611355+33025</f>
        <v>644380</v>
      </c>
      <c r="I96" s="23" t="s">
        <v>530</v>
      </c>
      <c r="J96" s="23" t="s">
        <v>530</v>
      </c>
      <c r="K96" s="23">
        <v>1005937</v>
      </c>
      <c r="L96" s="23">
        <v>-239392</v>
      </c>
      <c r="M96" s="24" t="s">
        <v>72</v>
      </c>
      <c r="N96" s="25">
        <v>131073</v>
      </c>
      <c r="O96" s="23" t="s">
        <v>302</v>
      </c>
      <c r="Q96" s="14"/>
      <c r="R96" s="14"/>
      <c r="S96" s="14"/>
    </row>
    <row r="97" spans="1:15" s="14" customFormat="1" ht="18.75">
      <c r="A97" s="12"/>
      <c r="B97" s="22">
        <f t="shared" si="8"/>
        <v>51.061489817160592</v>
      </c>
      <c r="C97" s="22" t="str">
        <f t="shared" si="9"/>
        <v>-</v>
      </c>
      <c r="D97" s="23">
        <v>5200000</v>
      </c>
      <c r="E97" s="23">
        <f t="shared" si="10"/>
        <v>-1168491</v>
      </c>
      <c r="F97" s="23">
        <f t="shared" si="11"/>
        <v>-1172883</v>
      </c>
      <c r="G97" s="23">
        <v>101838</v>
      </c>
      <c r="H97" s="23">
        <v>106552</v>
      </c>
      <c r="I97" s="23">
        <v>34741</v>
      </c>
      <c r="J97" s="23">
        <v>-1235588</v>
      </c>
      <c r="K97" s="23">
        <v>43847</v>
      </c>
      <c r="L97" s="23">
        <v>-1235588</v>
      </c>
      <c r="M97" s="24" t="s">
        <v>73</v>
      </c>
      <c r="N97" s="25">
        <v>131076</v>
      </c>
      <c r="O97" s="23" t="s">
        <v>303</v>
      </c>
    </row>
    <row r="98" spans="1:15" s="14" customFormat="1" ht="18.75">
      <c r="A98" s="12"/>
      <c r="B98" s="22">
        <f t="shared" si="8"/>
        <v>33.517585254269981</v>
      </c>
      <c r="C98" s="22" t="str">
        <f t="shared" si="9"/>
        <v>-</v>
      </c>
      <c r="D98" s="23">
        <v>28851200.000000004</v>
      </c>
      <c r="E98" s="23">
        <f t="shared" si="10"/>
        <v>-1649013</v>
      </c>
      <c r="F98" s="23">
        <f t="shared" si="11"/>
        <v>-1789013</v>
      </c>
      <c r="G98" s="23">
        <v>860778</v>
      </c>
      <c r="H98" s="23">
        <v>860778</v>
      </c>
      <c r="I98" s="23">
        <v>2060763</v>
      </c>
      <c r="J98" s="23">
        <v>-449028</v>
      </c>
      <c r="K98" s="23">
        <v>2200763</v>
      </c>
      <c r="L98" s="23">
        <v>-449028</v>
      </c>
      <c r="M98" s="24" t="s">
        <v>74</v>
      </c>
      <c r="N98" s="25">
        <v>131077</v>
      </c>
      <c r="O98" s="23" t="s">
        <v>304</v>
      </c>
    </row>
    <row r="99" spans="1:15" s="14" customFormat="1" ht="18.75">
      <c r="A99" s="12"/>
      <c r="B99" s="22" t="str">
        <f t="shared" si="8"/>
        <v>-</v>
      </c>
      <c r="C99" s="22" t="s">
        <v>534</v>
      </c>
      <c r="D99" s="23">
        <v>34770000</v>
      </c>
      <c r="E99" s="23" t="s">
        <v>530</v>
      </c>
      <c r="F99" s="23">
        <f t="shared" si="11"/>
        <v>-14849126</v>
      </c>
      <c r="G99" s="23">
        <v>-15514913</v>
      </c>
      <c r="H99" s="23">
        <f>+-19488367+71819+3997394</f>
        <v>-15419154</v>
      </c>
      <c r="I99" s="23" t="s">
        <v>530</v>
      </c>
      <c r="J99" s="23" t="s">
        <v>530</v>
      </c>
      <c r="K99" s="23">
        <v>-3066115</v>
      </c>
      <c r="L99" s="23">
        <v>-2496087</v>
      </c>
      <c r="M99" s="24" t="s">
        <v>75</v>
      </c>
      <c r="N99" s="25">
        <v>131087</v>
      </c>
      <c r="O99" s="23" t="s">
        <v>305</v>
      </c>
    </row>
    <row r="100" spans="1:15" s="14" customFormat="1" ht="18.75" hidden="1">
      <c r="A100" s="12"/>
      <c r="B100" s="22" t="str">
        <f t="shared" si="8"/>
        <v>-</v>
      </c>
      <c r="C100" s="22" t="str">
        <f t="shared" si="9"/>
        <v>-</v>
      </c>
      <c r="D100" s="23">
        <v>11600000</v>
      </c>
      <c r="E100" s="23">
        <f t="shared" si="10"/>
        <v>-36798871</v>
      </c>
      <c r="F100" s="23">
        <f t="shared" si="11"/>
        <v>-36797570</v>
      </c>
      <c r="G100" s="23">
        <f>+H100-1301</f>
        <v>-36798871</v>
      </c>
      <c r="H100" s="23">
        <f>+-36578542-233403+14375</f>
        <v>-36797570</v>
      </c>
      <c r="I100" s="23"/>
      <c r="J100" s="23"/>
      <c r="K100" s="23"/>
      <c r="L100" s="23"/>
      <c r="M100" s="24" t="s">
        <v>76</v>
      </c>
      <c r="N100" s="25">
        <v>131092</v>
      </c>
      <c r="O100" s="23" t="s">
        <v>306</v>
      </c>
    </row>
    <row r="101" spans="1:15" s="14" customFormat="1" ht="18.75">
      <c r="A101" s="12"/>
      <c r="B101" s="22" t="str">
        <f t="shared" si="8"/>
        <v>-</v>
      </c>
      <c r="C101" s="22" t="str">
        <f t="shared" si="9"/>
        <v>-</v>
      </c>
      <c r="D101" s="23">
        <v>9900000</v>
      </c>
      <c r="E101" s="23">
        <f t="shared" si="10"/>
        <v>-68650</v>
      </c>
      <c r="F101" s="23">
        <f t="shared" si="11"/>
        <v>-65687</v>
      </c>
      <c r="G101" s="23">
        <v>-62712</v>
      </c>
      <c r="H101" s="23">
        <v>-58648</v>
      </c>
      <c r="I101" s="23">
        <v>1108</v>
      </c>
      <c r="J101" s="23">
        <v>-4830</v>
      </c>
      <c r="K101" s="23">
        <v>2209</v>
      </c>
      <c r="L101" s="23">
        <v>-4830</v>
      </c>
      <c r="M101" s="24" t="s">
        <v>77</v>
      </c>
      <c r="N101" s="25">
        <v>131101</v>
      </c>
      <c r="O101" s="23" t="s">
        <v>307</v>
      </c>
    </row>
    <row r="102" spans="1:15" s="14" customFormat="1" ht="18.75" hidden="1">
      <c r="A102" s="12"/>
      <c r="B102" s="22" t="str">
        <f t="shared" si="8"/>
        <v>-</v>
      </c>
      <c r="C102" s="22" t="str">
        <f t="shared" si="9"/>
        <v>-</v>
      </c>
      <c r="D102" s="23">
        <v>15900000</v>
      </c>
      <c r="E102" s="23">
        <f t="shared" si="10"/>
        <v>0</v>
      </c>
      <c r="F102" s="23">
        <f t="shared" si="11"/>
        <v>0</v>
      </c>
      <c r="G102" s="23"/>
      <c r="H102" s="23"/>
      <c r="I102" s="23">
        <v>-10025465</v>
      </c>
      <c r="J102" s="23">
        <v>-10025465</v>
      </c>
      <c r="K102" s="23"/>
      <c r="L102" s="23"/>
      <c r="M102" s="24" t="s">
        <v>455</v>
      </c>
      <c r="N102" s="25">
        <v>131217</v>
      </c>
      <c r="O102" s="23" t="s">
        <v>308</v>
      </c>
    </row>
    <row r="103" spans="1:15" s="14" customFormat="1" ht="18.75">
      <c r="A103" s="12"/>
      <c r="B103" s="22" t="str">
        <f t="shared" si="8"/>
        <v>-</v>
      </c>
      <c r="C103" s="22" t="s">
        <v>534</v>
      </c>
      <c r="D103" s="23">
        <v>17892986.780000001</v>
      </c>
      <c r="E103" s="23" t="s">
        <v>530</v>
      </c>
      <c r="F103" s="23">
        <f t="shared" si="11"/>
        <v>-5274470</v>
      </c>
      <c r="G103" s="23">
        <v>-4606871</v>
      </c>
      <c r="H103" s="23">
        <f>-4606871+71700</f>
        <v>-4535171</v>
      </c>
      <c r="I103" s="23" t="s">
        <v>530</v>
      </c>
      <c r="J103" s="23" t="s">
        <v>530</v>
      </c>
      <c r="K103" s="23">
        <v>-964122</v>
      </c>
      <c r="L103" s="23">
        <v>-1703421</v>
      </c>
      <c r="M103" s="24" t="s">
        <v>78</v>
      </c>
      <c r="N103" s="25">
        <v>131218</v>
      </c>
      <c r="O103" s="23" t="s">
        <v>309</v>
      </c>
    </row>
    <row r="104" spans="1:15" s="14" customFormat="1" ht="18.75">
      <c r="A104" s="12"/>
      <c r="B104" s="22" t="str">
        <f t="shared" si="8"/>
        <v>-</v>
      </c>
      <c r="C104" s="22" t="s">
        <v>534</v>
      </c>
      <c r="D104" s="23">
        <v>4480000</v>
      </c>
      <c r="E104" s="23" t="s">
        <v>530</v>
      </c>
      <c r="F104" s="23">
        <f t="shared" si="11"/>
        <v>-198320</v>
      </c>
      <c r="G104" s="23">
        <f>+H104</f>
        <v>-236298</v>
      </c>
      <c r="H104" s="23">
        <v>-236298</v>
      </c>
      <c r="I104" s="23" t="s">
        <v>530</v>
      </c>
      <c r="J104" s="23" t="s">
        <v>530</v>
      </c>
      <c r="K104" s="23">
        <v>-37788</v>
      </c>
      <c r="L104" s="23">
        <v>190</v>
      </c>
      <c r="M104" s="24" t="s">
        <v>79</v>
      </c>
      <c r="N104" s="25">
        <v>131225</v>
      </c>
      <c r="O104" s="23" t="s">
        <v>310</v>
      </c>
    </row>
    <row r="105" spans="1:15" s="14" customFormat="1" ht="18.75">
      <c r="A105" s="12"/>
      <c r="B105" s="22" t="str">
        <f t="shared" si="8"/>
        <v>-</v>
      </c>
      <c r="C105" s="22" t="s">
        <v>534</v>
      </c>
      <c r="D105" s="23">
        <v>17250000</v>
      </c>
      <c r="E105" s="23" t="s">
        <v>530</v>
      </c>
      <c r="F105" s="23">
        <f t="shared" si="11"/>
        <v>-3972428</v>
      </c>
      <c r="G105" s="23">
        <v>-3559844</v>
      </c>
      <c r="H105" s="23">
        <v>-3559844</v>
      </c>
      <c r="I105" s="23" t="s">
        <v>530</v>
      </c>
      <c r="J105" s="23" t="s">
        <v>530</v>
      </c>
      <c r="K105" s="23">
        <v>34803</v>
      </c>
      <c r="L105" s="23">
        <v>-377781</v>
      </c>
      <c r="M105" s="24" t="s">
        <v>80</v>
      </c>
      <c r="N105" s="25">
        <v>131229</v>
      </c>
      <c r="O105" s="23" t="s">
        <v>311</v>
      </c>
    </row>
    <row r="106" spans="1:15" s="14" customFormat="1" ht="18.75">
      <c r="A106" s="12"/>
      <c r="B106" s="22">
        <f t="shared" si="8"/>
        <v>9.4087106408130001</v>
      </c>
      <c r="C106" s="22">
        <f t="shared" si="9"/>
        <v>9.7922583302621025</v>
      </c>
      <c r="D106" s="23">
        <v>14454000</v>
      </c>
      <c r="E106" s="23">
        <f t="shared" si="10"/>
        <v>1476064</v>
      </c>
      <c r="F106" s="23">
        <f t="shared" si="11"/>
        <v>1725120</v>
      </c>
      <c r="G106" s="23">
        <f>+H106-17008-17008-13800-91710-25000</f>
        <v>1536236</v>
      </c>
      <c r="H106" s="23">
        <v>1700762</v>
      </c>
      <c r="I106" s="23">
        <v>532484</v>
      </c>
      <c r="J106" s="23">
        <v>472312</v>
      </c>
      <c r="K106" s="23">
        <v>532484</v>
      </c>
      <c r="L106" s="23">
        <v>556842</v>
      </c>
      <c r="M106" s="24" t="s">
        <v>81</v>
      </c>
      <c r="N106" s="25">
        <v>131234</v>
      </c>
      <c r="O106" s="23" t="s">
        <v>312</v>
      </c>
    </row>
    <row r="107" spans="1:15" s="14" customFormat="1" ht="18.75">
      <c r="A107" s="12"/>
      <c r="B107" s="22" t="str">
        <f t="shared" si="8"/>
        <v>-</v>
      </c>
      <c r="C107" s="22" t="s">
        <v>534</v>
      </c>
      <c r="D107" s="23">
        <v>3300000.0000000005</v>
      </c>
      <c r="E107" s="23" t="s">
        <v>530</v>
      </c>
      <c r="F107" s="23">
        <f t="shared" si="11"/>
        <v>-159539</v>
      </c>
      <c r="G107" s="23">
        <v>-151337</v>
      </c>
      <c r="H107" s="23">
        <v>-151337</v>
      </c>
      <c r="I107" s="23" t="s">
        <v>530</v>
      </c>
      <c r="J107" s="23" t="s">
        <v>530</v>
      </c>
      <c r="K107" s="23">
        <v>-61834</v>
      </c>
      <c r="L107" s="23">
        <v>-70036</v>
      </c>
      <c r="M107" s="24" t="s">
        <v>82</v>
      </c>
      <c r="N107" s="25">
        <v>131236</v>
      </c>
      <c r="O107" s="23" t="s">
        <v>313</v>
      </c>
    </row>
    <row r="108" spans="1:15" s="14" customFormat="1" ht="18.75">
      <c r="A108" s="12"/>
      <c r="B108" s="22">
        <f t="shared" si="8"/>
        <v>135.8189499722582</v>
      </c>
      <c r="C108" s="22">
        <f t="shared" si="9"/>
        <v>54.492104421060439</v>
      </c>
      <c r="D108" s="23">
        <v>11749969</v>
      </c>
      <c r="E108" s="23">
        <f t="shared" si="10"/>
        <v>215627</v>
      </c>
      <c r="F108" s="23">
        <f t="shared" si="11"/>
        <v>236364</v>
      </c>
      <c r="G108" s="23">
        <v>86512</v>
      </c>
      <c r="H108" s="23">
        <v>109109</v>
      </c>
      <c r="I108" s="23">
        <v>-212996</v>
      </c>
      <c r="J108" s="23">
        <v>-83881</v>
      </c>
      <c r="K108" s="23">
        <v>-211136</v>
      </c>
      <c r="L108" s="23">
        <v>-83881</v>
      </c>
      <c r="M108" s="24" t="s">
        <v>83</v>
      </c>
      <c r="N108" s="25">
        <v>131237</v>
      </c>
      <c r="O108" s="23" t="s">
        <v>314</v>
      </c>
    </row>
    <row r="109" spans="1:15" s="14" customFormat="1" ht="18.75" hidden="1">
      <c r="A109" s="12"/>
      <c r="B109" s="22" t="str">
        <f t="shared" si="8"/>
        <v>-</v>
      </c>
      <c r="C109" s="22" t="str">
        <f t="shared" si="9"/>
        <v>-</v>
      </c>
      <c r="D109" s="23">
        <v>129309369.53</v>
      </c>
      <c r="E109" s="23">
        <f t="shared" si="10"/>
        <v>-34531353</v>
      </c>
      <c r="F109" s="23">
        <f t="shared" si="11"/>
        <v>-34488397</v>
      </c>
      <c r="G109" s="23">
        <v>-34531353</v>
      </c>
      <c r="H109" s="23">
        <f>+-33813202-675195</f>
        <v>-34488397</v>
      </c>
      <c r="I109" s="23"/>
      <c r="J109" s="23"/>
      <c r="K109" s="23"/>
      <c r="L109" s="23"/>
      <c r="M109" s="24" t="s">
        <v>84</v>
      </c>
      <c r="N109" s="25">
        <v>131239</v>
      </c>
      <c r="O109" s="23" t="s">
        <v>315</v>
      </c>
    </row>
    <row r="110" spans="1:15" s="14" customFormat="1" ht="18.75">
      <c r="A110" s="12"/>
      <c r="B110" s="22">
        <f t="shared" si="8"/>
        <v>30.430725178671828</v>
      </c>
      <c r="C110" s="22" t="str">
        <f t="shared" si="9"/>
        <v>-</v>
      </c>
      <c r="D110" s="23">
        <v>15750000</v>
      </c>
      <c r="E110" s="23">
        <f t="shared" si="10"/>
        <v>-340373</v>
      </c>
      <c r="F110" s="23">
        <f t="shared" si="11"/>
        <v>-253861</v>
      </c>
      <c r="G110" s="23">
        <v>517569</v>
      </c>
      <c r="H110" s="23">
        <f>610754+17244</f>
        <v>627998</v>
      </c>
      <c r="I110" s="23">
        <v>458448</v>
      </c>
      <c r="J110" s="23">
        <v>-399494</v>
      </c>
      <c r="K110" s="23">
        <v>482365</v>
      </c>
      <c r="L110" s="23">
        <v>-399494</v>
      </c>
      <c r="M110" s="24" t="s">
        <v>85</v>
      </c>
      <c r="N110" s="25">
        <v>131240</v>
      </c>
      <c r="O110" s="23" t="s">
        <v>316</v>
      </c>
    </row>
    <row r="111" spans="1:15" s="14" customFormat="1" ht="18.75">
      <c r="A111" s="15"/>
      <c r="B111" s="22">
        <f t="shared" si="8"/>
        <v>17.428085143157556</v>
      </c>
      <c r="C111" s="22">
        <f t="shared" si="9"/>
        <v>11.887452351947184</v>
      </c>
      <c r="D111" s="23">
        <v>7260000</v>
      </c>
      <c r="E111" s="23">
        <f t="shared" si="10"/>
        <v>610728</v>
      </c>
      <c r="F111" s="23">
        <f t="shared" si="11"/>
        <v>765172</v>
      </c>
      <c r="G111" s="23">
        <v>416569</v>
      </c>
      <c r="H111" s="23">
        <v>495602</v>
      </c>
      <c r="I111" s="23">
        <v>237401</v>
      </c>
      <c r="J111" s="23">
        <v>431560</v>
      </c>
      <c r="K111" s="23">
        <v>237401</v>
      </c>
      <c r="L111" s="23">
        <v>506971</v>
      </c>
      <c r="M111" s="24" t="s">
        <v>86</v>
      </c>
      <c r="N111" s="25">
        <v>131241</v>
      </c>
      <c r="O111" s="23" t="s">
        <v>317</v>
      </c>
    </row>
    <row r="112" spans="1:15" s="14" customFormat="1" ht="18.75">
      <c r="A112" s="12"/>
      <c r="B112" s="22">
        <f t="shared" si="8"/>
        <v>73.916994850045441</v>
      </c>
      <c r="C112" s="22" t="s">
        <v>534</v>
      </c>
      <c r="D112" s="23">
        <v>1220000</v>
      </c>
      <c r="E112" s="23" t="s">
        <v>530</v>
      </c>
      <c r="F112" s="23">
        <f t="shared" si="11"/>
        <v>19695</v>
      </c>
      <c r="G112" s="23">
        <v>16505</v>
      </c>
      <c r="H112" s="23">
        <v>18757</v>
      </c>
      <c r="I112" s="23" t="s">
        <v>530</v>
      </c>
      <c r="J112" s="23" t="s">
        <v>530</v>
      </c>
      <c r="K112" s="23">
        <v>20703</v>
      </c>
      <c r="L112" s="23">
        <v>21641</v>
      </c>
      <c r="M112" s="24" t="s">
        <v>87</v>
      </c>
      <c r="N112" s="25">
        <v>131242</v>
      </c>
      <c r="O112" s="23" t="s">
        <v>318</v>
      </c>
    </row>
    <row r="113" spans="1:15" s="14" customFormat="1" ht="18.75">
      <c r="A113" s="12"/>
      <c r="B113" s="22" t="str">
        <f t="shared" si="8"/>
        <v>-</v>
      </c>
      <c r="C113" s="22" t="s">
        <v>534</v>
      </c>
      <c r="D113" s="23">
        <v>4340000</v>
      </c>
      <c r="E113" s="23" t="s">
        <v>530</v>
      </c>
      <c r="F113" s="23">
        <f t="shared" si="11"/>
        <v>-896798</v>
      </c>
      <c r="G113" s="23">
        <v>-560952</v>
      </c>
      <c r="H113" s="23">
        <v>-560952</v>
      </c>
      <c r="I113" s="23" t="s">
        <v>530</v>
      </c>
      <c r="J113" s="23" t="s">
        <v>530</v>
      </c>
      <c r="K113" s="23">
        <v>-107657</v>
      </c>
      <c r="L113" s="23">
        <v>-443503</v>
      </c>
      <c r="M113" s="24" t="s">
        <v>88</v>
      </c>
      <c r="N113" s="25">
        <v>131245</v>
      </c>
      <c r="O113" s="23" t="s">
        <v>319</v>
      </c>
    </row>
    <row r="114" spans="1:15" s="14" customFormat="1" ht="18.75">
      <c r="A114" s="12"/>
      <c r="B114" s="22">
        <f t="shared" si="8"/>
        <v>25.826557449024833</v>
      </c>
      <c r="C114" s="22" t="s">
        <v>534</v>
      </c>
      <c r="D114" s="23">
        <v>6000000</v>
      </c>
      <c r="E114" s="23" t="s">
        <v>530</v>
      </c>
      <c r="F114" s="23">
        <f t="shared" si="11"/>
        <v>243726</v>
      </c>
      <c r="G114" s="23">
        <v>232319</v>
      </c>
      <c r="H114" s="23">
        <v>242177</v>
      </c>
      <c r="I114" s="23" t="s">
        <v>530</v>
      </c>
      <c r="J114" s="23" t="s">
        <v>530</v>
      </c>
      <c r="K114" s="23">
        <v>-96545</v>
      </c>
      <c r="L114" s="23">
        <v>-94996</v>
      </c>
      <c r="M114" s="24" t="s">
        <v>89</v>
      </c>
      <c r="N114" s="25">
        <v>131246</v>
      </c>
      <c r="O114" s="23" t="s">
        <v>320</v>
      </c>
    </row>
    <row r="115" spans="1:15" s="14" customFormat="1" ht="18.75">
      <c r="A115" s="12"/>
      <c r="B115" s="22" t="str">
        <f t="shared" si="8"/>
        <v>-</v>
      </c>
      <c r="C115" s="22" t="s">
        <v>534</v>
      </c>
      <c r="D115" s="23">
        <v>2460000</v>
      </c>
      <c r="E115" s="23" t="s">
        <v>530</v>
      </c>
      <c r="F115" s="23">
        <f t="shared" si="11"/>
        <v>-50838</v>
      </c>
      <c r="G115" s="23">
        <f>+H115</f>
        <v>-63092</v>
      </c>
      <c r="H115" s="23">
        <v>-63092</v>
      </c>
      <c r="I115" s="23" t="s">
        <v>530</v>
      </c>
      <c r="J115" s="23" t="s">
        <v>530</v>
      </c>
      <c r="K115" s="23">
        <v>-38156</v>
      </c>
      <c r="L115" s="23">
        <v>-25902</v>
      </c>
      <c r="M115" s="24" t="s">
        <v>90</v>
      </c>
      <c r="N115" s="25">
        <v>131247</v>
      </c>
      <c r="O115" s="23" t="s">
        <v>321</v>
      </c>
    </row>
    <row r="116" spans="1:15" s="14" customFormat="1" ht="18.75">
      <c r="A116" s="12"/>
      <c r="B116" s="22">
        <f t="shared" si="8"/>
        <v>40.008108309950813</v>
      </c>
      <c r="C116" s="22" t="str">
        <f t="shared" si="9"/>
        <v>-</v>
      </c>
      <c r="D116" s="23">
        <v>7500000</v>
      </c>
      <c r="E116" s="23">
        <f t="shared" si="10"/>
        <v>-26173</v>
      </c>
      <c r="F116" s="23">
        <f t="shared" si="11"/>
        <v>-105200</v>
      </c>
      <c r="G116" s="23">
        <v>187462</v>
      </c>
      <c r="H116" s="23">
        <v>232369</v>
      </c>
      <c r="I116" s="23">
        <v>133664</v>
      </c>
      <c r="J116" s="23">
        <v>-79971</v>
      </c>
      <c r="K116" s="23">
        <v>257310</v>
      </c>
      <c r="L116" s="23">
        <v>-80259</v>
      </c>
      <c r="M116" s="24" t="s">
        <v>91</v>
      </c>
      <c r="N116" s="25">
        <v>131253</v>
      </c>
      <c r="O116" s="23" t="s">
        <v>322</v>
      </c>
    </row>
    <row r="117" spans="1:15" s="14" customFormat="1" ht="18.75">
      <c r="A117" s="12"/>
      <c r="B117" s="22">
        <f t="shared" si="8"/>
        <v>28.863930872404715</v>
      </c>
      <c r="C117" s="22">
        <f t="shared" si="9"/>
        <v>197.50930372772822</v>
      </c>
      <c r="D117" s="23">
        <v>38000000</v>
      </c>
      <c r="E117" s="23">
        <f t="shared" si="10"/>
        <v>192396</v>
      </c>
      <c r="F117" s="23">
        <f t="shared" si="11"/>
        <v>493453</v>
      </c>
      <c r="G117" s="23">
        <v>1316522</v>
      </c>
      <c r="H117" s="23">
        <v>1820913</v>
      </c>
      <c r="I117" s="23">
        <v>892375</v>
      </c>
      <c r="J117" s="23">
        <v>-231751</v>
      </c>
      <c r="K117" s="23">
        <v>1114210</v>
      </c>
      <c r="L117" s="23">
        <v>-213250</v>
      </c>
      <c r="M117" s="24" t="s">
        <v>92</v>
      </c>
      <c r="N117" s="25">
        <v>131255</v>
      </c>
      <c r="O117" s="23" t="s">
        <v>323</v>
      </c>
    </row>
    <row r="118" spans="1:15" s="14" customFormat="1" ht="18.75">
      <c r="A118" s="12"/>
      <c r="B118" s="22">
        <f t="shared" si="8"/>
        <v>3.4829669520020361</v>
      </c>
      <c r="C118" s="22" t="s">
        <v>534</v>
      </c>
      <c r="D118" s="23">
        <v>3640000</v>
      </c>
      <c r="E118" s="23" t="s">
        <v>530</v>
      </c>
      <c r="F118" s="23">
        <f t="shared" si="11"/>
        <v>1923754</v>
      </c>
      <c r="G118" s="23">
        <v>1045086</v>
      </c>
      <c r="H118" s="23">
        <f>1121255-5933</f>
        <v>1115322</v>
      </c>
      <c r="I118" s="23" t="s">
        <v>530</v>
      </c>
      <c r="J118" s="23" t="s">
        <v>530</v>
      </c>
      <c r="K118" s="23">
        <v>-245464</v>
      </c>
      <c r="L118" s="23">
        <v>562968</v>
      </c>
      <c r="M118" s="24" t="s">
        <v>93</v>
      </c>
      <c r="N118" s="25">
        <v>131257</v>
      </c>
      <c r="O118" s="23" t="s">
        <v>324</v>
      </c>
    </row>
    <row r="119" spans="1:15" s="14" customFormat="1" ht="18.75">
      <c r="A119" s="15"/>
      <c r="B119" s="22">
        <f t="shared" si="8"/>
        <v>21.137132702912346</v>
      </c>
      <c r="C119" s="22">
        <f t="shared" si="9"/>
        <v>27.46833630451772</v>
      </c>
      <c r="D119" s="23">
        <v>140800000</v>
      </c>
      <c r="E119" s="23">
        <f t="shared" si="10"/>
        <v>5125902</v>
      </c>
      <c r="F119" s="23">
        <f t="shared" si="11"/>
        <v>5864174</v>
      </c>
      <c r="G119" s="23">
        <v>6661263</v>
      </c>
      <c r="H119" s="23">
        <f>7373161+197430+1560</f>
        <v>7572151</v>
      </c>
      <c r="I119" s="23">
        <v>4061120</v>
      </c>
      <c r="J119" s="23">
        <v>2525759</v>
      </c>
      <c r="K119" s="23">
        <v>4490308</v>
      </c>
      <c r="L119" s="23">
        <f>2804545+-22214</f>
        <v>2782331</v>
      </c>
      <c r="M119" s="24" t="s">
        <v>485</v>
      </c>
      <c r="N119" s="25">
        <v>131259</v>
      </c>
      <c r="O119" s="23" t="s">
        <v>486</v>
      </c>
    </row>
    <row r="120" spans="1:15" s="14" customFormat="1" ht="18.75">
      <c r="A120" s="12"/>
      <c r="B120" s="22">
        <f t="shared" si="8"/>
        <v>5.8769172475922042</v>
      </c>
      <c r="C120" s="22">
        <f t="shared" si="9"/>
        <v>5.6436761123982651</v>
      </c>
      <c r="D120" s="23">
        <v>1520000</v>
      </c>
      <c r="E120" s="23">
        <f t="shared" si="10"/>
        <v>269328</v>
      </c>
      <c r="F120" s="23">
        <f t="shared" si="11"/>
        <v>298998</v>
      </c>
      <c r="G120" s="23">
        <v>258639</v>
      </c>
      <c r="H120" s="23">
        <f>278639+7208</f>
        <v>285847</v>
      </c>
      <c r="I120" s="23">
        <v>4429</v>
      </c>
      <c r="J120" s="23">
        <v>15118</v>
      </c>
      <c r="K120" s="23">
        <v>4429</v>
      </c>
      <c r="L120" s="23">
        <v>17580</v>
      </c>
      <c r="M120" s="24" t="s">
        <v>94</v>
      </c>
      <c r="N120" s="25">
        <v>131265</v>
      </c>
      <c r="O120" s="23" t="s">
        <v>325</v>
      </c>
    </row>
    <row r="121" spans="1:15" s="14" customFormat="1" ht="18.75" hidden="1">
      <c r="A121" s="12"/>
      <c r="B121" s="22" t="str">
        <f t="shared" si="8"/>
        <v>-</v>
      </c>
      <c r="C121" s="22" t="str">
        <f t="shared" si="9"/>
        <v>-</v>
      </c>
      <c r="D121" s="23">
        <v>940000</v>
      </c>
      <c r="E121" s="23">
        <f t="shared" si="10"/>
        <v>0</v>
      </c>
      <c r="F121" s="23">
        <f t="shared" si="11"/>
        <v>0</v>
      </c>
      <c r="G121" s="23"/>
      <c r="H121" s="23"/>
      <c r="I121" s="23"/>
      <c r="J121" s="23"/>
      <c r="K121" s="23"/>
      <c r="L121" s="23"/>
      <c r="M121" s="24" t="s">
        <v>95</v>
      </c>
      <c r="N121" s="25">
        <v>131266</v>
      </c>
      <c r="O121" s="23" t="s">
        <v>326</v>
      </c>
    </row>
    <row r="122" spans="1:15" s="14" customFormat="1" ht="18.75">
      <c r="A122" s="12"/>
      <c r="B122" s="22" t="str">
        <f t="shared" si="8"/>
        <v>-</v>
      </c>
      <c r="C122" s="22" t="str">
        <f t="shared" si="9"/>
        <v>-</v>
      </c>
      <c r="D122" s="23">
        <v>27500000</v>
      </c>
      <c r="E122" s="23">
        <f t="shared" si="10"/>
        <v>-1635603</v>
      </c>
      <c r="F122" s="23">
        <f t="shared" si="11"/>
        <v>-1588679</v>
      </c>
      <c r="G122" s="23">
        <v>-854330</v>
      </c>
      <c r="H122" s="23">
        <f>+-774092+111</f>
        <v>-773981</v>
      </c>
      <c r="I122" s="23">
        <v>190313</v>
      </c>
      <c r="J122" s="23">
        <v>-590960</v>
      </c>
      <c r="K122" s="23">
        <v>250569</v>
      </c>
      <c r="L122" s="23">
        <v>-564129</v>
      </c>
      <c r="M122" s="24" t="s">
        <v>96</v>
      </c>
      <c r="N122" s="25">
        <v>131270</v>
      </c>
      <c r="O122" s="23" t="s">
        <v>327</v>
      </c>
    </row>
    <row r="123" spans="1:15" s="14" customFormat="1" ht="18.75">
      <c r="A123" s="12"/>
      <c r="B123" s="22">
        <f t="shared" si="8"/>
        <v>2.6106176721412284</v>
      </c>
      <c r="C123" s="22">
        <f t="shared" si="9"/>
        <v>2.2578346863616749</v>
      </c>
      <c r="D123" s="23">
        <v>450000</v>
      </c>
      <c r="E123" s="23">
        <f t="shared" si="10"/>
        <v>199306</v>
      </c>
      <c r="F123" s="23">
        <f t="shared" si="11"/>
        <v>89529</v>
      </c>
      <c r="G123" s="23">
        <v>172373</v>
      </c>
      <c r="H123" s="23">
        <v>232944</v>
      </c>
      <c r="I123" s="23">
        <v>-34802</v>
      </c>
      <c r="J123" s="23">
        <v>-7869</v>
      </c>
      <c r="K123" s="23">
        <v>135546</v>
      </c>
      <c r="L123" s="23">
        <v>-7869</v>
      </c>
      <c r="M123" s="24" t="s">
        <v>97</v>
      </c>
      <c r="N123" s="25">
        <v>131273</v>
      </c>
      <c r="O123" s="23" t="s">
        <v>328</v>
      </c>
    </row>
    <row r="124" spans="1:15" s="14" customFormat="1" ht="18.75">
      <c r="A124" s="12"/>
      <c r="B124" s="22" t="str">
        <f t="shared" si="8"/>
        <v>-</v>
      </c>
      <c r="C124" s="22" t="str">
        <f t="shared" si="9"/>
        <v>-</v>
      </c>
      <c r="D124" s="23">
        <v>51000000</v>
      </c>
      <c r="E124" s="23">
        <f t="shared" si="10"/>
        <v>-805137</v>
      </c>
      <c r="F124" s="23">
        <f t="shared" si="11"/>
        <v>-836137</v>
      </c>
      <c r="G124" s="23">
        <v>-333269</v>
      </c>
      <c r="H124" s="23">
        <v>-223269</v>
      </c>
      <c r="I124" s="23">
        <v>422941</v>
      </c>
      <c r="J124" s="23">
        <v>-48927</v>
      </c>
      <c r="K124" s="23">
        <v>563941</v>
      </c>
      <c r="L124" s="23">
        <v>-48927</v>
      </c>
      <c r="M124" s="24" t="s">
        <v>480</v>
      </c>
      <c r="N124" s="25">
        <v>131276</v>
      </c>
      <c r="O124" s="23" t="s">
        <v>465</v>
      </c>
    </row>
    <row r="125" spans="1:15" s="14" customFormat="1" ht="18.75" hidden="1">
      <c r="A125" s="12"/>
      <c r="B125" s="22" t="str">
        <f t="shared" si="8"/>
        <v>-</v>
      </c>
      <c r="C125" s="22" t="str">
        <f t="shared" si="9"/>
        <v>-</v>
      </c>
      <c r="D125" s="23"/>
      <c r="E125" s="23">
        <f t="shared" si="10"/>
        <v>-56983</v>
      </c>
      <c r="F125" s="23">
        <f t="shared" si="11"/>
        <v>-56983</v>
      </c>
      <c r="G125" s="23">
        <v>-56983</v>
      </c>
      <c r="H125" s="23">
        <v>-56983</v>
      </c>
      <c r="I125" s="23"/>
      <c r="J125" s="23"/>
      <c r="K125" s="23"/>
      <c r="L125" s="23"/>
      <c r="M125" s="24" t="s">
        <v>463</v>
      </c>
      <c r="N125" s="25">
        <v>131278</v>
      </c>
      <c r="O125" s="23"/>
    </row>
    <row r="126" spans="1:15" s="14" customFormat="1" ht="18.75">
      <c r="A126" s="12"/>
      <c r="B126" s="22" t="str">
        <f t="shared" si="8"/>
        <v>-</v>
      </c>
      <c r="C126" s="22" t="s">
        <v>534</v>
      </c>
      <c r="D126" s="23">
        <v>32700000.000000004</v>
      </c>
      <c r="E126" s="23" t="s">
        <v>530</v>
      </c>
      <c r="F126" s="23">
        <f t="shared" si="11"/>
        <v>-293171</v>
      </c>
      <c r="G126" s="23">
        <v>-348941</v>
      </c>
      <c r="H126" s="23">
        <v>-348941</v>
      </c>
      <c r="I126" s="23" t="s">
        <v>530</v>
      </c>
      <c r="J126" s="23" t="s">
        <v>530</v>
      </c>
      <c r="K126" s="23">
        <v>-213411</v>
      </c>
      <c r="L126" s="23">
        <v>-157641</v>
      </c>
      <c r="M126" s="24" t="s">
        <v>492</v>
      </c>
      <c r="N126" s="25">
        <v>131281</v>
      </c>
      <c r="O126" s="23" t="s">
        <v>491</v>
      </c>
    </row>
    <row r="127" spans="1:15" s="14" customFormat="1" ht="18.75">
      <c r="A127" s="12"/>
      <c r="B127" s="22" t="str">
        <f t="shared" si="8"/>
        <v>-</v>
      </c>
      <c r="C127" s="22" t="s">
        <v>534</v>
      </c>
      <c r="D127" s="23">
        <v>7740000</v>
      </c>
      <c r="E127" s="23" t="s">
        <v>530</v>
      </c>
      <c r="F127" s="23">
        <f t="shared" si="11"/>
        <v>-1245993</v>
      </c>
      <c r="G127" s="23">
        <v>-1326237</v>
      </c>
      <c r="H127" s="23">
        <v>-1314446</v>
      </c>
      <c r="I127" s="23" t="s">
        <v>530</v>
      </c>
      <c r="J127" s="23" t="s">
        <v>530</v>
      </c>
      <c r="K127" s="23">
        <v>-85742</v>
      </c>
      <c r="L127" s="23">
        <v>-17289</v>
      </c>
      <c r="M127" s="24" t="s">
        <v>508</v>
      </c>
      <c r="N127" s="25">
        <v>131284</v>
      </c>
      <c r="O127" s="23" t="s">
        <v>506</v>
      </c>
    </row>
    <row r="128" spans="1:15" s="14" customFormat="1" ht="18.75">
      <c r="A128" s="12"/>
      <c r="B128" s="22">
        <f t="shared" si="8"/>
        <v>138.25170787761888</v>
      </c>
      <c r="C128" s="22" t="str">
        <f t="shared" si="9"/>
        <v>-</v>
      </c>
      <c r="D128" s="23">
        <v>6737420.4800000004</v>
      </c>
      <c r="E128" s="23">
        <f t="shared" si="10"/>
        <v>-1187284</v>
      </c>
      <c r="F128" s="23">
        <f t="shared" si="11"/>
        <v>-1162194</v>
      </c>
      <c r="G128" s="23">
        <v>48733</v>
      </c>
      <c r="H128" s="23">
        <v>136823</v>
      </c>
      <c r="I128" s="23">
        <v>538041</v>
      </c>
      <c r="J128" s="23">
        <v>-697976</v>
      </c>
      <c r="K128" s="23">
        <v>608041</v>
      </c>
      <c r="L128" s="23">
        <v>-690976</v>
      </c>
      <c r="M128" s="24" t="s">
        <v>509</v>
      </c>
      <c r="N128" s="25">
        <v>131285</v>
      </c>
      <c r="O128" s="23" t="s">
        <v>507</v>
      </c>
    </row>
    <row r="129" spans="1:19" ht="18.75">
      <c r="B129" s="22">
        <f t="shared" si="8"/>
        <v>944.79363057324849</v>
      </c>
      <c r="C129" s="22" t="s">
        <v>534</v>
      </c>
      <c r="D129" s="23">
        <v>3114984.6</v>
      </c>
      <c r="E129" s="23" t="s">
        <v>530</v>
      </c>
      <c r="F129" s="23">
        <f t="shared" si="11"/>
        <v>-100107</v>
      </c>
      <c r="G129" s="23">
        <v>3297</v>
      </c>
      <c r="H129" s="23">
        <v>3297</v>
      </c>
      <c r="I129" s="23" t="s">
        <v>530</v>
      </c>
      <c r="J129" s="23" t="s">
        <v>530</v>
      </c>
      <c r="K129" s="23">
        <v>-4259</v>
      </c>
      <c r="L129" s="23">
        <v>-107663</v>
      </c>
      <c r="M129" s="24" t="s">
        <v>475</v>
      </c>
      <c r="N129" s="25">
        <v>131287</v>
      </c>
      <c r="O129" s="23" t="s">
        <v>476</v>
      </c>
      <c r="Q129" s="14"/>
      <c r="R129" s="14"/>
      <c r="S129" s="14"/>
    </row>
    <row r="130" spans="1:19" ht="18.75">
      <c r="B130" s="22" t="str">
        <f t="shared" si="8"/>
        <v>-</v>
      </c>
      <c r="C130" s="22" t="s">
        <v>534</v>
      </c>
      <c r="D130" s="23">
        <v>7080000</v>
      </c>
      <c r="E130" s="23" t="s">
        <v>530</v>
      </c>
      <c r="F130" s="23">
        <f t="shared" si="11"/>
        <v>-404716</v>
      </c>
      <c r="G130" s="23">
        <v>-814201</v>
      </c>
      <c r="H130" s="23">
        <v>-814201</v>
      </c>
      <c r="I130" s="23" t="s">
        <v>530</v>
      </c>
      <c r="J130" s="23" t="s">
        <v>530</v>
      </c>
      <c r="K130" s="23">
        <v>-636329</v>
      </c>
      <c r="L130" s="23">
        <v>-226844</v>
      </c>
      <c r="M130" s="24" t="s">
        <v>98</v>
      </c>
      <c r="N130" s="25">
        <v>141036</v>
      </c>
      <c r="O130" s="23" t="s">
        <v>329</v>
      </c>
      <c r="Q130" s="14"/>
      <c r="R130" s="14"/>
      <c r="S130" s="14"/>
    </row>
    <row r="131" spans="1:19" ht="18.75">
      <c r="A131" s="15"/>
      <c r="B131" s="22" t="str">
        <f t="shared" si="8"/>
        <v>-</v>
      </c>
      <c r="C131" s="22" t="s">
        <v>534</v>
      </c>
      <c r="D131" s="23">
        <v>11340000</v>
      </c>
      <c r="E131" s="23" t="s">
        <v>530</v>
      </c>
      <c r="F131" s="23">
        <f t="shared" si="11"/>
        <v>-3665365</v>
      </c>
      <c r="G131" s="23">
        <v>-2391621</v>
      </c>
      <c r="H131" s="23">
        <v>-2373993</v>
      </c>
      <c r="I131" s="23" t="s">
        <v>530</v>
      </c>
      <c r="J131" s="23" t="s">
        <v>530</v>
      </c>
      <c r="K131" s="23">
        <v>1131043</v>
      </c>
      <c r="L131" s="23">
        <v>-160329</v>
      </c>
      <c r="M131" s="24" t="s">
        <v>99</v>
      </c>
      <c r="N131" s="25">
        <v>141106</v>
      </c>
      <c r="O131" s="23" t="s">
        <v>330</v>
      </c>
      <c r="Q131" s="14"/>
      <c r="R131" s="14"/>
      <c r="S131" s="14"/>
    </row>
    <row r="132" spans="1:19" s="26" customFormat="1" ht="20.25">
      <c r="B132" s="27" t="str">
        <f>+IF(G132&gt;0,+D132/G132,"-")</f>
        <v>-</v>
      </c>
      <c r="C132" s="27" t="str">
        <f>+IF(E132&gt;0,+D132/E132,"-")</f>
        <v>-</v>
      </c>
      <c r="D132" s="28">
        <f>SUM(D92:D131)</f>
        <v>800899930.38999999</v>
      </c>
      <c r="E132" s="28">
        <f>+G132-I132+J132</f>
        <v>-104626265</v>
      </c>
      <c r="F132" s="28">
        <f>+H132-K132+L132</f>
        <v>-105828167</v>
      </c>
      <c r="G132" s="28">
        <f t="shared" ref="G132:L132" si="13">SUM(G92:G131)</f>
        <v>-94920709</v>
      </c>
      <c r="H132" s="28">
        <f t="shared" si="13"/>
        <v>-91962680</v>
      </c>
      <c r="I132" s="28">
        <f t="shared" si="13"/>
        <v>-705435</v>
      </c>
      <c r="J132" s="28">
        <f t="shared" si="13"/>
        <v>-10410991</v>
      </c>
      <c r="K132" s="28">
        <f t="shared" si="13"/>
        <v>7505698</v>
      </c>
      <c r="L132" s="28">
        <f t="shared" si="13"/>
        <v>-6359789</v>
      </c>
      <c r="M132" s="29" t="s">
        <v>540</v>
      </c>
      <c r="N132" s="30"/>
      <c r="O132" s="28"/>
    </row>
    <row r="133" spans="1:19" s="26" customFormat="1" ht="20.25">
      <c r="B133" s="27">
        <f t="shared" si="8"/>
        <v>37.114244830858013</v>
      </c>
      <c r="C133" s="27">
        <f t="shared" si="9"/>
        <v>35.528973334551637</v>
      </c>
      <c r="D133" s="28">
        <f>D132+D90+D50+D21</f>
        <v>11745547845.189999</v>
      </c>
      <c r="E133" s="28">
        <f t="shared" si="10"/>
        <v>330590691</v>
      </c>
      <c r="F133" s="28">
        <f t="shared" si="11"/>
        <v>530551352</v>
      </c>
      <c r="G133" s="28">
        <f t="shared" ref="G133:L133" si="14">G132+G90+G50+G21</f>
        <v>316470075</v>
      </c>
      <c r="H133" s="28">
        <f t="shared" si="14"/>
        <v>521739505</v>
      </c>
      <c r="I133" s="28">
        <f t="shared" si="14"/>
        <v>291926050</v>
      </c>
      <c r="J133" s="28">
        <f t="shared" si="14"/>
        <v>306046666</v>
      </c>
      <c r="K133" s="28">
        <f t="shared" si="14"/>
        <v>404175017</v>
      </c>
      <c r="L133" s="28">
        <f t="shared" si="14"/>
        <v>412986864</v>
      </c>
      <c r="M133" s="29" t="s">
        <v>541</v>
      </c>
      <c r="N133" s="30"/>
      <c r="O133" s="28"/>
    </row>
    <row r="134" spans="1:19" s="15" customFormat="1" ht="20.25">
      <c r="A134" s="12"/>
      <c r="B134" s="31"/>
      <c r="C134" s="31"/>
      <c r="D134" s="32"/>
      <c r="E134" s="32"/>
      <c r="F134" s="32"/>
      <c r="G134" s="32"/>
      <c r="H134" s="32"/>
      <c r="I134" s="32"/>
      <c r="J134" s="32"/>
      <c r="K134" s="32"/>
      <c r="L134" s="32"/>
      <c r="M134" s="33"/>
      <c r="N134" s="34"/>
      <c r="O134" s="32"/>
    </row>
    <row r="135" spans="1:19" ht="18.75">
      <c r="B135" s="22">
        <f t="shared" si="8"/>
        <v>49.152546373332768</v>
      </c>
      <c r="C135" s="22">
        <f t="shared" si="9"/>
        <v>169.59159574901258</v>
      </c>
      <c r="D135" s="23">
        <v>20825000</v>
      </c>
      <c r="E135" s="23">
        <f t="shared" si="10"/>
        <v>122795</v>
      </c>
      <c r="F135" s="23">
        <f t="shared" si="11"/>
        <v>183393</v>
      </c>
      <c r="G135" s="23">
        <v>423681</v>
      </c>
      <c r="H135" s="23">
        <f>468881+31960</f>
        <v>500841</v>
      </c>
      <c r="I135" s="23">
        <v>228069</v>
      </c>
      <c r="J135" s="23">
        <v>-72817</v>
      </c>
      <c r="K135" s="23">
        <v>244631</v>
      </c>
      <c r="L135" s="23">
        <v>-72817</v>
      </c>
      <c r="M135" s="24" t="s">
        <v>100</v>
      </c>
      <c r="N135" s="25">
        <v>131002</v>
      </c>
      <c r="O135" s="23" t="s">
        <v>331</v>
      </c>
      <c r="Q135" s="14"/>
      <c r="R135" s="14"/>
      <c r="S135" s="14"/>
    </row>
    <row r="136" spans="1:19" ht="18.75">
      <c r="B136" s="22" t="str">
        <f t="shared" si="8"/>
        <v>-</v>
      </c>
      <c r="C136" s="22" t="s">
        <v>534</v>
      </c>
      <c r="D136" s="23">
        <v>18040000</v>
      </c>
      <c r="E136" s="23" t="s">
        <v>530</v>
      </c>
      <c r="F136" s="23">
        <f t="shared" si="11"/>
        <v>919191</v>
      </c>
      <c r="G136" s="23">
        <f>+H136</f>
        <v>-1138250</v>
      </c>
      <c r="H136" s="23">
        <v>-1138250</v>
      </c>
      <c r="I136" s="23" t="s">
        <v>530</v>
      </c>
      <c r="J136" s="23" t="s">
        <v>530</v>
      </c>
      <c r="K136" s="23">
        <v>-805351</v>
      </c>
      <c r="L136" s="23">
        <v>1252090</v>
      </c>
      <c r="M136" s="24" t="s">
        <v>101</v>
      </c>
      <c r="N136" s="25">
        <v>131207</v>
      </c>
      <c r="O136" s="23" t="s">
        <v>332</v>
      </c>
      <c r="Q136" s="14"/>
      <c r="R136" s="14"/>
      <c r="S136" s="14"/>
    </row>
    <row r="137" spans="1:19" ht="18.75">
      <c r="B137" s="22" t="str">
        <f t="shared" si="8"/>
        <v>-</v>
      </c>
      <c r="C137" s="22">
        <f t="shared" si="9"/>
        <v>31.85887901763839</v>
      </c>
      <c r="D137" s="23">
        <v>18400000</v>
      </c>
      <c r="E137" s="23">
        <f t="shared" si="10"/>
        <v>577547</v>
      </c>
      <c r="F137" s="23">
        <f t="shared" si="11"/>
        <v>605058</v>
      </c>
      <c r="G137" s="23"/>
      <c r="H137" s="23"/>
      <c r="I137" s="23">
        <v>-431784</v>
      </c>
      <c r="J137" s="23">
        <v>145763</v>
      </c>
      <c r="K137" s="23">
        <v>-431784</v>
      </c>
      <c r="L137" s="23">
        <v>173274</v>
      </c>
      <c r="M137" s="24" t="s">
        <v>495</v>
      </c>
      <c r="N137" s="25">
        <v>131279</v>
      </c>
      <c r="O137" s="23"/>
      <c r="Q137" s="14"/>
      <c r="R137" s="14"/>
      <c r="S137" s="14"/>
    </row>
    <row r="138" spans="1:19" ht="18.75">
      <c r="B138" s="22" t="str">
        <f t="shared" ref="B138:B203" si="15">+IF(G138&gt;0,+D138/G138,"-")</f>
        <v>-</v>
      </c>
      <c r="C138" s="22" t="str">
        <f t="shared" ref="C138:C203" si="16">+IF(E138&gt;0,+D138/E138,"-")</f>
        <v>-</v>
      </c>
      <c r="D138" s="23">
        <v>7650000</v>
      </c>
      <c r="E138" s="23">
        <f t="shared" ref="E138:E203" si="17">+G138-I138+J138</f>
        <v>-421950</v>
      </c>
      <c r="F138" s="23">
        <f t="shared" ref="F138:F203" si="18">+H138-K138+L138</f>
        <v>-417950</v>
      </c>
      <c r="G138" s="23">
        <f>+H138</f>
        <v>-742553</v>
      </c>
      <c r="H138" s="23">
        <v>-742553</v>
      </c>
      <c r="I138" s="23">
        <v>-187582</v>
      </c>
      <c r="J138" s="23">
        <v>133021</v>
      </c>
      <c r="K138" s="23">
        <v>-187582</v>
      </c>
      <c r="L138" s="23">
        <v>137021</v>
      </c>
      <c r="M138" s="24" t="s">
        <v>102</v>
      </c>
      <c r="N138" s="25">
        <v>141021</v>
      </c>
      <c r="O138" s="23" t="s">
        <v>333</v>
      </c>
      <c r="Q138" s="14"/>
      <c r="R138" s="14"/>
      <c r="S138" s="14"/>
    </row>
    <row r="139" spans="1:19" s="26" customFormat="1" ht="20.25">
      <c r="B139" s="27" t="str">
        <f t="shared" si="15"/>
        <v>-</v>
      </c>
      <c r="C139" s="27" t="str">
        <f t="shared" si="16"/>
        <v>-</v>
      </c>
      <c r="D139" s="28">
        <f>SUM(D135:D138)</f>
        <v>64915000</v>
      </c>
      <c r="E139" s="28">
        <f t="shared" si="17"/>
        <v>-859858</v>
      </c>
      <c r="F139" s="28">
        <f t="shared" si="18"/>
        <v>1289692</v>
      </c>
      <c r="G139" s="28">
        <f t="shared" ref="G139:L139" si="19">SUM(G135:G138)</f>
        <v>-1457122</v>
      </c>
      <c r="H139" s="28">
        <f t="shared" si="19"/>
        <v>-1379962</v>
      </c>
      <c r="I139" s="28">
        <f t="shared" si="19"/>
        <v>-391297</v>
      </c>
      <c r="J139" s="28">
        <f t="shared" si="19"/>
        <v>205967</v>
      </c>
      <c r="K139" s="28">
        <f t="shared" si="19"/>
        <v>-1180086</v>
      </c>
      <c r="L139" s="28">
        <f t="shared" si="19"/>
        <v>1489568</v>
      </c>
      <c r="M139" s="29" t="s">
        <v>542</v>
      </c>
      <c r="N139" s="30"/>
      <c r="O139" s="28"/>
    </row>
    <row r="140" spans="1:19" s="15" customFormat="1" ht="20.25">
      <c r="A140" s="12"/>
      <c r="B140" s="31"/>
      <c r="C140" s="31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4"/>
      <c r="O140" s="32"/>
    </row>
    <row r="141" spans="1:19" ht="18.75">
      <c r="B141" s="22">
        <f t="shared" si="15"/>
        <v>13.433359179379796</v>
      </c>
      <c r="C141" s="22">
        <f t="shared" si="16"/>
        <v>10.408544956208535</v>
      </c>
      <c r="D141" s="23">
        <v>32640000.000000004</v>
      </c>
      <c r="E141" s="23">
        <f t="shared" si="17"/>
        <v>3135885</v>
      </c>
      <c r="F141" s="23">
        <f t="shared" si="18"/>
        <v>3868525</v>
      </c>
      <c r="G141" s="23">
        <v>2429772</v>
      </c>
      <c r="H141" s="23">
        <f>3189772+142829</f>
        <v>3332601</v>
      </c>
      <c r="I141" s="23">
        <v>1534871</v>
      </c>
      <c r="J141" s="23">
        <v>2240984</v>
      </c>
      <c r="K141" s="23">
        <v>2075239</v>
      </c>
      <c r="L141" s="23">
        <v>2611163</v>
      </c>
      <c r="M141" s="24" t="s">
        <v>103</v>
      </c>
      <c r="N141" s="25">
        <v>131051</v>
      </c>
      <c r="O141" s="23" t="s">
        <v>334</v>
      </c>
      <c r="P141" s="14">
        <f>Q141-N141</f>
        <v>0</v>
      </c>
      <c r="Q141" s="15">
        <v>131051</v>
      </c>
      <c r="R141" s="15" t="s">
        <v>529</v>
      </c>
      <c r="S141" s="15">
        <v>32640000.000000004</v>
      </c>
    </row>
    <row r="142" spans="1:19" ht="18.75">
      <c r="B142" s="22">
        <f t="shared" si="15"/>
        <v>24.624646751739093</v>
      </c>
      <c r="C142" s="22">
        <f t="shared" si="16"/>
        <v>11.965869104809521</v>
      </c>
      <c r="D142" s="23">
        <v>95580000</v>
      </c>
      <c r="E142" s="23">
        <f t="shared" si="17"/>
        <v>7987719</v>
      </c>
      <c r="F142" s="23">
        <f t="shared" si="18"/>
        <v>9948905</v>
      </c>
      <c r="G142" s="23">
        <v>3881477</v>
      </c>
      <c r="H142" s="23">
        <f>5820656+176388</f>
        <v>5997044</v>
      </c>
      <c r="I142" s="23">
        <v>481338</v>
      </c>
      <c r="J142" s="23">
        <v>4587580</v>
      </c>
      <c r="K142" s="23">
        <f>1169943+190458</f>
        <v>1360401</v>
      </c>
      <c r="L142" s="23">
        <f>5317981-5719</f>
        <v>5312262</v>
      </c>
      <c r="M142" s="24" t="s">
        <v>104</v>
      </c>
      <c r="N142" s="25">
        <v>131052</v>
      </c>
      <c r="O142" s="23" t="s">
        <v>335</v>
      </c>
      <c r="Q142" s="14"/>
      <c r="R142" s="14"/>
      <c r="S142" s="14"/>
    </row>
    <row r="143" spans="1:19" ht="18.75">
      <c r="A143" s="15"/>
      <c r="B143" s="22">
        <f t="shared" si="15"/>
        <v>113.05689352631516</v>
      </c>
      <c r="C143" s="22" t="str">
        <f t="shared" si="16"/>
        <v>-</v>
      </c>
      <c r="D143" s="23">
        <v>19200000</v>
      </c>
      <c r="E143" s="23">
        <f t="shared" si="17"/>
        <v>-4388</v>
      </c>
      <c r="F143" s="23">
        <f t="shared" si="18"/>
        <v>-46719</v>
      </c>
      <c r="G143" s="23">
        <v>169826</v>
      </c>
      <c r="H143" s="23">
        <v>234664</v>
      </c>
      <c r="I143" s="23">
        <v>462104</v>
      </c>
      <c r="J143" s="23">
        <v>287890</v>
      </c>
      <c r="K143" s="23">
        <v>616139</v>
      </c>
      <c r="L143" s="23">
        <v>334756</v>
      </c>
      <c r="M143" s="24" t="s">
        <v>105</v>
      </c>
      <c r="N143" s="25">
        <v>131093</v>
      </c>
      <c r="O143" s="23" t="s">
        <v>336</v>
      </c>
      <c r="Q143" s="14"/>
      <c r="R143" s="14"/>
      <c r="S143" s="14"/>
    </row>
    <row r="144" spans="1:19" ht="18.75">
      <c r="B144" s="22">
        <f t="shared" si="15"/>
        <v>8.4631721807488489</v>
      </c>
      <c r="C144" s="22">
        <f t="shared" si="16"/>
        <v>7.0025836682004758</v>
      </c>
      <c r="D144" s="23">
        <v>33150000</v>
      </c>
      <c r="E144" s="23">
        <f t="shared" si="17"/>
        <v>4733967</v>
      </c>
      <c r="F144" s="23">
        <f t="shared" si="18"/>
        <v>6346727</v>
      </c>
      <c r="G144" s="23">
        <v>3916971</v>
      </c>
      <c r="H144" s="23">
        <v>5639082</v>
      </c>
      <c r="I144" s="5">
        <v>1916152</v>
      </c>
      <c r="J144" s="5">
        <v>2733148</v>
      </c>
      <c r="K144" s="5">
        <v>2554869</v>
      </c>
      <c r="L144" s="5">
        <v>3262514</v>
      </c>
      <c r="M144" s="24" t="s">
        <v>106</v>
      </c>
      <c r="N144" s="25">
        <v>131220</v>
      </c>
      <c r="O144" s="23" t="s">
        <v>337</v>
      </c>
      <c r="Q144" s="14"/>
      <c r="R144" s="14"/>
      <c r="S144" s="14"/>
    </row>
    <row r="145" spans="1:15" s="14" customFormat="1" ht="18.75">
      <c r="A145" s="15"/>
      <c r="B145" s="22">
        <f t="shared" si="15"/>
        <v>20.114508552104748</v>
      </c>
      <c r="C145" s="22">
        <f t="shared" si="16"/>
        <v>17.098965877367302</v>
      </c>
      <c r="D145" s="23">
        <v>73120000</v>
      </c>
      <c r="E145" s="23">
        <f t="shared" si="17"/>
        <v>4276282</v>
      </c>
      <c r="F145" s="23">
        <f t="shared" si="18"/>
        <v>5369024</v>
      </c>
      <c r="G145" s="23">
        <v>3635187</v>
      </c>
      <c r="H145" s="23">
        <f>4860187+187576</f>
        <v>5047763</v>
      </c>
      <c r="I145" s="23">
        <v>2368127</v>
      </c>
      <c r="J145" s="23">
        <v>3009222</v>
      </c>
      <c r="K145" s="23">
        <v>3188127</v>
      </c>
      <c r="L145" s="23">
        <v>3509388</v>
      </c>
      <c r="M145" s="24" t="s">
        <v>107</v>
      </c>
      <c r="N145" s="25">
        <v>131221</v>
      </c>
      <c r="O145" s="23" t="s">
        <v>338</v>
      </c>
    </row>
    <row r="146" spans="1:15" s="14" customFormat="1" ht="18.75">
      <c r="A146" s="12"/>
      <c r="B146" s="22">
        <f t="shared" si="15"/>
        <v>14.795546806199599</v>
      </c>
      <c r="C146" s="22">
        <f t="shared" si="16"/>
        <v>18.758326113312272</v>
      </c>
      <c r="D146" s="23">
        <v>50100000</v>
      </c>
      <c r="E146" s="23">
        <f t="shared" si="17"/>
        <v>2670814</v>
      </c>
      <c r="F146" s="23">
        <f t="shared" si="18"/>
        <v>3311472</v>
      </c>
      <c r="G146" s="23">
        <v>3386154</v>
      </c>
      <c r="H146" s="23">
        <f>4436357+70064</f>
        <v>4506421</v>
      </c>
      <c r="I146" s="23">
        <v>2196834</v>
      </c>
      <c r="J146" s="23">
        <v>1481494</v>
      </c>
      <c r="K146" s="23">
        <v>2919651</v>
      </c>
      <c r="L146" s="23">
        <v>1724702</v>
      </c>
      <c r="M146" s="24" t="s">
        <v>108</v>
      </c>
      <c r="N146" s="25">
        <v>131222</v>
      </c>
      <c r="O146" s="23" t="s">
        <v>339</v>
      </c>
    </row>
    <row r="147" spans="1:15" s="26" customFormat="1" ht="20.25">
      <c r="B147" s="27">
        <f t="shared" si="15"/>
        <v>17.439764097324435</v>
      </c>
      <c r="C147" s="27">
        <f t="shared" si="16"/>
        <v>13.323959763825696</v>
      </c>
      <c r="D147" s="28">
        <f>SUM(D141:D146)</f>
        <v>303790000</v>
      </c>
      <c r="E147" s="28">
        <f t="shared" si="17"/>
        <v>22800279</v>
      </c>
      <c r="F147" s="28">
        <f t="shared" si="18"/>
        <v>28797934</v>
      </c>
      <c r="G147" s="28">
        <f t="shared" ref="G147:L147" si="20">SUM(G141:G146)</f>
        <v>17419387</v>
      </c>
      <c r="H147" s="28">
        <f t="shared" si="20"/>
        <v>24757575</v>
      </c>
      <c r="I147" s="28">
        <f t="shared" si="20"/>
        <v>8959426</v>
      </c>
      <c r="J147" s="28">
        <f t="shared" si="20"/>
        <v>14340318</v>
      </c>
      <c r="K147" s="28">
        <f t="shared" si="20"/>
        <v>12714426</v>
      </c>
      <c r="L147" s="28">
        <f t="shared" si="20"/>
        <v>16754785</v>
      </c>
      <c r="M147" s="29" t="s">
        <v>543</v>
      </c>
      <c r="N147" s="30"/>
      <c r="O147" s="28"/>
    </row>
    <row r="148" spans="1:15" s="15" customFormat="1" ht="20.25">
      <c r="A148" s="12"/>
      <c r="B148" s="31"/>
      <c r="C148" s="31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4"/>
      <c r="O148" s="32"/>
    </row>
    <row r="149" spans="1:15" s="14" customFormat="1" ht="18.75">
      <c r="A149" s="12"/>
      <c r="B149" s="22">
        <f t="shared" si="15"/>
        <v>24.159995696785671</v>
      </c>
      <c r="C149" s="22">
        <f t="shared" si="16"/>
        <v>21.582238713405381</v>
      </c>
      <c r="D149" s="23">
        <v>53000000</v>
      </c>
      <c r="E149" s="23">
        <f t="shared" si="17"/>
        <v>2455723</v>
      </c>
      <c r="F149" s="23">
        <f t="shared" si="18"/>
        <v>2938058</v>
      </c>
      <c r="G149" s="23">
        <v>2193709</v>
      </c>
      <c r="H149" s="23">
        <f>2590743+74903</f>
        <v>2665646</v>
      </c>
      <c r="I149" s="23">
        <v>1168254</v>
      </c>
      <c r="J149" s="23">
        <v>1430268</v>
      </c>
      <c r="K149" s="23">
        <v>1362510</v>
      </c>
      <c r="L149" s="23">
        <v>1634922</v>
      </c>
      <c r="M149" s="24" t="s">
        <v>109</v>
      </c>
      <c r="N149" s="25">
        <v>131003</v>
      </c>
      <c r="O149" s="23" t="s">
        <v>340</v>
      </c>
    </row>
    <row r="150" spans="1:15" s="14" customFormat="1" ht="18.75">
      <c r="A150" s="12"/>
      <c r="B150" s="22">
        <f t="shared" si="15"/>
        <v>26.986259344334183</v>
      </c>
      <c r="C150" s="22">
        <f t="shared" si="16"/>
        <v>28.841174284000797</v>
      </c>
      <c r="D150" s="23">
        <v>59200000</v>
      </c>
      <c r="E150" s="23">
        <f t="shared" si="17"/>
        <v>2052621</v>
      </c>
      <c r="F150" s="23">
        <f t="shared" si="18"/>
        <v>4186458</v>
      </c>
      <c r="G150" s="23">
        <v>2193709</v>
      </c>
      <c r="H150" s="23">
        <f>4200564+65000+120686-2484</f>
        <v>4383766</v>
      </c>
      <c r="I150" s="23">
        <v>2689818</v>
      </c>
      <c r="J150" s="23">
        <v>2548730</v>
      </c>
      <c r="K150" s="23">
        <v>2939818</v>
      </c>
      <c r="L150" s="23">
        <f>2742450+60</f>
        <v>2742510</v>
      </c>
      <c r="M150" s="24" t="s">
        <v>110</v>
      </c>
      <c r="N150" s="25">
        <v>131005</v>
      </c>
      <c r="O150" s="23" t="s">
        <v>341</v>
      </c>
    </row>
    <row r="151" spans="1:15" s="14" customFormat="1" ht="18.75">
      <c r="A151" s="12"/>
      <c r="B151" s="22" t="str">
        <f t="shared" si="15"/>
        <v>-</v>
      </c>
      <c r="C151" s="22" t="s">
        <v>534</v>
      </c>
      <c r="D151" s="23">
        <v>1065000</v>
      </c>
      <c r="E151" s="23" t="s">
        <v>530</v>
      </c>
      <c r="F151" s="23">
        <f t="shared" si="18"/>
        <v>-27999</v>
      </c>
      <c r="G151" s="23">
        <v>-23099</v>
      </c>
      <c r="H151" s="23">
        <v>-23099</v>
      </c>
      <c r="I151" s="23" t="s">
        <v>530</v>
      </c>
      <c r="J151" s="23" t="s">
        <v>530</v>
      </c>
      <c r="K151" s="23">
        <v>-8636</v>
      </c>
      <c r="L151" s="23">
        <v>-13536</v>
      </c>
      <c r="M151" s="24" t="s">
        <v>111</v>
      </c>
      <c r="N151" s="25">
        <v>131014</v>
      </c>
      <c r="O151" s="23" t="s">
        <v>342</v>
      </c>
    </row>
    <row r="152" spans="1:15" s="14" customFormat="1" ht="18.75">
      <c r="A152" s="12"/>
      <c r="B152" s="22" t="str">
        <f t="shared" si="15"/>
        <v>-</v>
      </c>
      <c r="C152" s="22" t="s">
        <v>534</v>
      </c>
      <c r="D152" s="23">
        <v>41580000</v>
      </c>
      <c r="E152" s="23" t="s">
        <v>530</v>
      </c>
      <c r="F152" s="23">
        <f t="shared" si="18"/>
        <v>-519821</v>
      </c>
      <c r="G152" s="23">
        <v>-339563</v>
      </c>
      <c r="H152" s="23">
        <v>-339563</v>
      </c>
      <c r="I152" s="23" t="s">
        <v>530</v>
      </c>
      <c r="J152" s="23" t="s">
        <v>530</v>
      </c>
      <c r="K152" s="23">
        <v>-177629</v>
      </c>
      <c r="L152" s="23">
        <v>-357887</v>
      </c>
      <c r="M152" s="24" t="s">
        <v>112</v>
      </c>
      <c r="N152" s="25">
        <v>131019</v>
      </c>
      <c r="O152" s="23" t="s">
        <v>343</v>
      </c>
    </row>
    <row r="153" spans="1:15" s="14" customFormat="1" ht="18.75">
      <c r="A153" s="12"/>
      <c r="B153" s="22">
        <f t="shared" si="15"/>
        <v>33.855298234900346</v>
      </c>
      <c r="C153" s="22">
        <f t="shared" si="16"/>
        <v>30.059865566415844</v>
      </c>
      <c r="D153" s="23">
        <v>92249999.999999985</v>
      </c>
      <c r="E153" s="23">
        <f t="shared" si="17"/>
        <v>3068876</v>
      </c>
      <c r="F153" s="23">
        <f t="shared" si="18"/>
        <v>3630917</v>
      </c>
      <c r="G153" s="23">
        <v>2724832</v>
      </c>
      <c r="H153" s="23">
        <f>3150661+24259+32324+32324+55000</f>
        <v>3294568</v>
      </c>
      <c r="I153" s="23">
        <v>1472967</v>
      </c>
      <c r="J153" s="23">
        <v>1817011</v>
      </c>
      <c r="K153" s="23">
        <v>1712268</v>
      </c>
      <c r="L153" s="23">
        <v>2048617</v>
      </c>
      <c r="M153" s="24" t="s">
        <v>113</v>
      </c>
      <c r="N153" s="25">
        <v>131035</v>
      </c>
      <c r="O153" s="23" t="s">
        <v>344</v>
      </c>
    </row>
    <row r="154" spans="1:15" s="14" customFormat="1" ht="18.75">
      <c r="A154" s="15"/>
      <c r="B154" s="22">
        <f t="shared" si="15"/>
        <v>24.37849083973758</v>
      </c>
      <c r="C154" s="22">
        <f t="shared" si="16"/>
        <v>22.85672948163073</v>
      </c>
      <c r="D154" s="23">
        <v>171250000</v>
      </c>
      <c r="E154" s="23">
        <f t="shared" si="17"/>
        <v>7492323</v>
      </c>
      <c r="F154" s="23">
        <f t="shared" si="18"/>
        <v>8558787</v>
      </c>
      <c r="G154" s="23">
        <v>7024635</v>
      </c>
      <c r="H154" s="23">
        <f>8573758-243801</f>
        <v>8329957</v>
      </c>
      <c r="I154" s="23">
        <v>4382349</v>
      </c>
      <c r="J154" s="23">
        <v>4850037</v>
      </c>
      <c r="K154" s="23">
        <f>5906193-543231</f>
        <v>5362962</v>
      </c>
      <c r="L154" s="23">
        <f>6021492-429700</f>
        <v>5591792</v>
      </c>
      <c r="M154" s="24" t="s">
        <v>114</v>
      </c>
      <c r="N154" s="25">
        <v>131067</v>
      </c>
      <c r="O154" s="23" t="s">
        <v>345</v>
      </c>
    </row>
    <row r="155" spans="1:15" s="14" customFormat="1" ht="18.75">
      <c r="A155" s="12"/>
      <c r="B155" s="22">
        <f t="shared" si="15"/>
        <v>18.006589719276111</v>
      </c>
      <c r="C155" s="22">
        <f t="shared" si="16"/>
        <v>19.46178192574332</v>
      </c>
      <c r="D155" s="23">
        <v>31200000</v>
      </c>
      <c r="E155" s="23">
        <f t="shared" si="17"/>
        <v>1603142</v>
      </c>
      <c r="F155" s="23">
        <f t="shared" si="18"/>
        <v>1957493</v>
      </c>
      <c r="G155" s="23">
        <v>1732699</v>
      </c>
      <c r="H155" s="23">
        <v>2120634</v>
      </c>
      <c r="I155" s="23">
        <v>913195</v>
      </c>
      <c r="J155" s="23">
        <v>783638</v>
      </c>
      <c r="K155" s="23">
        <v>1074347</v>
      </c>
      <c r="L155" s="23">
        <v>911206</v>
      </c>
      <c r="M155" s="24" t="s">
        <v>115</v>
      </c>
      <c r="N155" s="25">
        <v>131078</v>
      </c>
      <c r="O155" s="23" t="s">
        <v>346</v>
      </c>
    </row>
    <row r="156" spans="1:15" s="14" customFormat="1" ht="18.75">
      <c r="A156" s="12"/>
      <c r="B156" s="22">
        <f t="shared" si="15"/>
        <v>17.797251695895937</v>
      </c>
      <c r="C156" s="22">
        <f t="shared" si="16"/>
        <v>15.867550033746094</v>
      </c>
      <c r="D156" s="23">
        <v>48384000.000000007</v>
      </c>
      <c r="E156" s="23">
        <f t="shared" si="17"/>
        <v>3049242</v>
      </c>
      <c r="F156" s="23">
        <f t="shared" si="18"/>
        <v>3647519</v>
      </c>
      <c r="G156" s="23">
        <v>2718622</v>
      </c>
      <c r="H156" s="23">
        <f>3214187+65000</f>
        <v>3279187</v>
      </c>
      <c r="I156" s="23">
        <v>1262622</v>
      </c>
      <c r="J156" s="23">
        <v>1593242</v>
      </c>
      <c r="K156" s="23">
        <v>1492152</v>
      </c>
      <c r="L156" s="23">
        <v>1860484</v>
      </c>
      <c r="M156" s="24" t="s">
        <v>116</v>
      </c>
      <c r="N156" s="25">
        <v>131098</v>
      </c>
      <c r="O156" s="23" t="s">
        <v>347</v>
      </c>
    </row>
    <row r="157" spans="1:15" s="14" customFormat="1" ht="18.75" hidden="1">
      <c r="A157" s="12"/>
      <c r="B157" s="22" t="str">
        <f t="shared" si="15"/>
        <v>-</v>
      </c>
      <c r="C157" s="22" t="str">
        <f t="shared" si="16"/>
        <v>-</v>
      </c>
      <c r="D157" s="23">
        <v>46760000</v>
      </c>
      <c r="E157" s="23">
        <f t="shared" si="17"/>
        <v>-999067</v>
      </c>
      <c r="F157" s="23">
        <f t="shared" si="18"/>
        <v>-999067</v>
      </c>
      <c r="G157" s="23">
        <f>+H157</f>
        <v>-999067</v>
      </c>
      <c r="H157" s="23">
        <v>-999067</v>
      </c>
      <c r="I157" s="23"/>
      <c r="J157" s="23"/>
      <c r="K157" s="23"/>
      <c r="L157" s="23"/>
      <c r="M157" s="24" t="s">
        <v>117</v>
      </c>
      <c r="N157" s="25">
        <v>131104</v>
      </c>
      <c r="O157" s="23" t="s">
        <v>348</v>
      </c>
    </row>
    <row r="158" spans="1:15" s="14" customFormat="1" ht="18.75">
      <c r="A158" s="12"/>
      <c r="B158" s="22">
        <f t="shared" si="15"/>
        <v>341.19763013118916</v>
      </c>
      <c r="C158" s="22" t="s">
        <v>534</v>
      </c>
      <c r="D158" s="23">
        <v>154800000</v>
      </c>
      <c r="E158" s="23" t="s">
        <v>530</v>
      </c>
      <c r="F158" s="23">
        <f t="shared" si="18"/>
        <v>1073548</v>
      </c>
      <c r="G158" s="23">
        <v>453696</v>
      </c>
      <c r="H158" s="23">
        <f>507614+85516</f>
        <v>593130</v>
      </c>
      <c r="I158" s="23" t="s">
        <v>530</v>
      </c>
      <c r="J158" s="23" t="s">
        <v>530</v>
      </c>
      <c r="K158" s="23">
        <v>-600615</v>
      </c>
      <c r="L158" s="23">
        <v>-120197</v>
      </c>
      <c r="M158" s="24" t="s">
        <v>118</v>
      </c>
      <c r="N158" s="25">
        <v>131211</v>
      </c>
      <c r="O158" s="23" t="s">
        <v>349</v>
      </c>
    </row>
    <row r="159" spans="1:15" s="14" customFormat="1" ht="18.75">
      <c r="A159" s="12"/>
      <c r="B159" s="22" t="str">
        <f t="shared" si="15"/>
        <v>-</v>
      </c>
      <c r="C159" s="22" t="s">
        <v>534</v>
      </c>
      <c r="D159" s="23">
        <v>5846770.7999999998</v>
      </c>
      <c r="E159" s="23" t="s">
        <v>530</v>
      </c>
      <c r="F159" s="23">
        <f t="shared" si="18"/>
        <v>-7088</v>
      </c>
      <c r="G159" s="23">
        <v>-11797</v>
      </c>
      <c r="H159" s="23">
        <v>-11797</v>
      </c>
      <c r="I159" s="23" t="s">
        <v>530</v>
      </c>
      <c r="J159" s="23" t="s">
        <v>530</v>
      </c>
      <c r="K159" s="23">
        <v>16514</v>
      </c>
      <c r="L159" s="23">
        <v>21223</v>
      </c>
      <c r="M159" s="24" t="s">
        <v>119</v>
      </c>
      <c r="N159" s="25">
        <v>131235</v>
      </c>
      <c r="O159" s="23" t="s">
        <v>350</v>
      </c>
    </row>
    <row r="160" spans="1:15" s="14" customFormat="1" ht="18.75">
      <c r="A160" s="12"/>
      <c r="B160" s="22" t="str">
        <f t="shared" si="15"/>
        <v>-</v>
      </c>
      <c r="C160" s="22" t="s">
        <v>534</v>
      </c>
      <c r="D160" s="23">
        <v>5900000</v>
      </c>
      <c r="E160" s="23" t="s">
        <v>530</v>
      </c>
      <c r="F160" s="23">
        <f t="shared" si="18"/>
        <v>-313905</v>
      </c>
      <c r="G160" s="23">
        <v>-247117</v>
      </c>
      <c r="H160" s="23">
        <v>-247117</v>
      </c>
      <c r="I160" s="23" t="s">
        <v>530</v>
      </c>
      <c r="J160" s="23" t="s">
        <v>530</v>
      </c>
      <c r="K160" s="23">
        <v>-109170</v>
      </c>
      <c r="L160" s="23">
        <v>-175958</v>
      </c>
      <c r="M160" s="24" t="s">
        <v>120</v>
      </c>
      <c r="N160" s="25">
        <v>131261</v>
      </c>
      <c r="O160" s="23" t="s">
        <v>351</v>
      </c>
    </row>
    <row r="161" spans="1:19" ht="18.75" hidden="1">
      <c r="B161" s="22" t="str">
        <f t="shared" si="15"/>
        <v>-</v>
      </c>
      <c r="C161" s="22" t="str">
        <f t="shared" si="16"/>
        <v>-</v>
      </c>
      <c r="D161" s="23">
        <v>11500000</v>
      </c>
      <c r="E161" s="23">
        <f t="shared" si="17"/>
        <v>0</v>
      </c>
      <c r="F161" s="23">
        <f t="shared" si="18"/>
        <v>0</v>
      </c>
      <c r="G161" s="23"/>
      <c r="H161" s="23"/>
      <c r="I161" s="23"/>
      <c r="J161" s="23"/>
      <c r="K161" s="23"/>
      <c r="L161" s="23"/>
      <c r="M161" s="24" t="s">
        <v>510</v>
      </c>
      <c r="N161" s="25">
        <v>131272</v>
      </c>
      <c r="O161" s="23" t="s">
        <v>512</v>
      </c>
      <c r="Q161" s="14"/>
      <c r="R161" s="14"/>
      <c r="S161" s="14"/>
    </row>
    <row r="162" spans="1:19" ht="18.75">
      <c r="B162" s="22">
        <f t="shared" si="15"/>
        <v>6.2461823938683239</v>
      </c>
      <c r="C162" s="22" t="str">
        <f t="shared" si="16"/>
        <v>-</v>
      </c>
      <c r="D162" s="23">
        <v>7015000</v>
      </c>
      <c r="E162" s="23">
        <f t="shared" si="17"/>
        <v>-1148499</v>
      </c>
      <c r="F162" s="23">
        <f t="shared" si="18"/>
        <v>-1096250</v>
      </c>
      <c r="G162" s="23">
        <v>1123086</v>
      </c>
      <c r="H162" s="23">
        <v>1180944</v>
      </c>
      <c r="I162" s="23">
        <v>1376181</v>
      </c>
      <c r="J162" s="23">
        <f>+L162</f>
        <v>-895404</v>
      </c>
      <c r="K162" s="23">
        <f>1380632+1158</f>
        <v>1381790</v>
      </c>
      <c r="L162" s="23">
        <v>-895404</v>
      </c>
      <c r="M162" s="24" t="s">
        <v>511</v>
      </c>
      <c r="N162" s="25">
        <v>131283</v>
      </c>
      <c r="O162" s="23" t="s">
        <v>513</v>
      </c>
      <c r="Q162" s="14"/>
      <c r="R162" s="14"/>
      <c r="S162" s="14"/>
    </row>
    <row r="163" spans="1:19" s="26" customFormat="1" ht="20.25">
      <c r="B163" s="27">
        <f t="shared" si="15"/>
        <v>39.351660616754053</v>
      </c>
      <c r="C163" s="27">
        <f t="shared" si="16"/>
        <v>41.92408395470629</v>
      </c>
      <c r="D163" s="28">
        <f>SUM(D149:D162)</f>
        <v>729750770.79999995</v>
      </c>
      <c r="E163" s="28">
        <f t="shared" si="17"/>
        <v>17406481</v>
      </c>
      <c r="F163" s="28">
        <f t="shared" si="18"/>
        <v>23028650</v>
      </c>
      <c r="G163" s="28">
        <f t="shared" ref="G163:L163" si="21">SUM(G149:G162)</f>
        <v>18544345</v>
      </c>
      <c r="H163" s="28">
        <f t="shared" si="21"/>
        <v>24227189</v>
      </c>
      <c r="I163" s="28">
        <f t="shared" si="21"/>
        <v>13265386</v>
      </c>
      <c r="J163" s="28">
        <f t="shared" si="21"/>
        <v>12127522</v>
      </c>
      <c r="K163" s="28">
        <f t="shared" si="21"/>
        <v>14446311</v>
      </c>
      <c r="L163" s="28">
        <f t="shared" si="21"/>
        <v>13247772</v>
      </c>
      <c r="M163" s="29" t="s">
        <v>544</v>
      </c>
      <c r="N163" s="30"/>
      <c r="O163" s="28"/>
      <c r="P163" s="38"/>
      <c r="Q163" s="38"/>
      <c r="R163" s="38"/>
      <c r="S163" s="38"/>
    </row>
    <row r="164" spans="1:19" s="15" customFormat="1" ht="20.25">
      <c r="A164" s="12"/>
      <c r="B164" s="31"/>
      <c r="C164" s="31"/>
      <c r="D164" s="32"/>
      <c r="E164" s="32"/>
      <c r="F164" s="32"/>
      <c r="G164" s="32"/>
      <c r="H164" s="32"/>
      <c r="I164" s="32"/>
      <c r="J164" s="32"/>
      <c r="K164" s="32"/>
      <c r="L164" s="32"/>
      <c r="M164" s="33"/>
      <c r="N164" s="34"/>
      <c r="O164" s="32"/>
    </row>
    <row r="165" spans="1:19" ht="18.75">
      <c r="B165" s="22">
        <f t="shared" si="15"/>
        <v>7.5932244525026409</v>
      </c>
      <c r="C165" s="22">
        <f t="shared" si="16"/>
        <v>6.4481532541037838</v>
      </c>
      <c r="D165" s="23">
        <v>22338750</v>
      </c>
      <c r="E165" s="23">
        <f t="shared" si="17"/>
        <v>3464364</v>
      </c>
      <c r="F165" s="23">
        <f t="shared" si="18"/>
        <v>3828084</v>
      </c>
      <c r="G165" s="23">
        <v>2941932</v>
      </c>
      <c r="H165" s="23">
        <f>3382251-37000-46498</f>
        <v>3298753</v>
      </c>
      <c r="I165" s="23">
        <v>1409810</v>
      </c>
      <c r="J165" s="23">
        <v>1932242</v>
      </c>
      <c r="K165" s="23">
        <f>1507410-23068</f>
        <v>1484342</v>
      </c>
      <c r="L165" s="23">
        <f>2058303-44630</f>
        <v>2013673</v>
      </c>
      <c r="M165" s="24" t="s">
        <v>121</v>
      </c>
      <c r="N165" s="25">
        <v>131012</v>
      </c>
      <c r="O165" s="23" t="s">
        <v>352</v>
      </c>
      <c r="Q165" s="14"/>
      <c r="R165" s="14"/>
      <c r="S165" s="14"/>
    </row>
    <row r="166" spans="1:19" ht="18.75">
      <c r="B166" s="22">
        <f t="shared" si="15"/>
        <v>6.133279591562542</v>
      </c>
      <c r="C166" s="22">
        <f t="shared" si="16"/>
        <v>15.134938001458789</v>
      </c>
      <c r="D166" s="23">
        <v>21912000</v>
      </c>
      <c r="E166" s="23">
        <f t="shared" si="17"/>
        <v>1447776</v>
      </c>
      <c r="F166" s="23">
        <f t="shared" si="18"/>
        <v>1861664</v>
      </c>
      <c r="G166" s="23">
        <v>3572640</v>
      </c>
      <c r="H166" s="23">
        <f>5612057+54021-1604467</f>
        <v>4061611</v>
      </c>
      <c r="I166" s="23">
        <v>3101061</v>
      </c>
      <c r="J166" s="23">
        <v>976197</v>
      </c>
      <c r="K166" s="23">
        <f>2384876+801607</f>
        <v>3186483</v>
      </c>
      <c r="L166" s="23">
        <f>1226780-240244</f>
        <v>986536</v>
      </c>
      <c r="M166" s="24" t="s">
        <v>122</v>
      </c>
      <c r="N166" s="25">
        <v>131034</v>
      </c>
      <c r="O166" s="23" t="s">
        <v>353</v>
      </c>
      <c r="Q166" s="14"/>
      <c r="R166" s="14"/>
      <c r="S166" s="14"/>
    </row>
    <row r="167" spans="1:19" ht="18.75">
      <c r="B167" s="22" t="str">
        <f t="shared" si="15"/>
        <v>-</v>
      </c>
      <c r="C167" s="22" t="s">
        <v>534</v>
      </c>
      <c r="D167" s="23">
        <v>3743877.5000000005</v>
      </c>
      <c r="E167" s="23" t="s">
        <v>530</v>
      </c>
      <c r="F167" s="23">
        <f t="shared" si="18"/>
        <v>-195554</v>
      </c>
      <c r="G167" s="23">
        <v>-191432</v>
      </c>
      <c r="H167" s="23">
        <v>-191432</v>
      </c>
      <c r="I167" s="23" t="s">
        <v>530</v>
      </c>
      <c r="J167" s="23" t="s">
        <v>530</v>
      </c>
      <c r="K167" s="23">
        <v>-132571</v>
      </c>
      <c r="L167" s="23">
        <v>-136693</v>
      </c>
      <c r="M167" s="24" t="s">
        <v>123</v>
      </c>
      <c r="N167" s="25">
        <v>131055</v>
      </c>
      <c r="O167" s="23" t="s">
        <v>354</v>
      </c>
      <c r="Q167" s="14"/>
      <c r="R167" s="14"/>
      <c r="S167" s="14"/>
    </row>
    <row r="168" spans="1:19" ht="18.75">
      <c r="B168" s="22" t="str">
        <f t="shared" si="15"/>
        <v>-</v>
      </c>
      <c r="C168" s="22" t="str">
        <f t="shared" si="16"/>
        <v>-</v>
      </c>
      <c r="D168" s="23">
        <v>2612422.8000000003</v>
      </c>
      <c r="E168" s="23">
        <f t="shared" si="17"/>
        <v>-1296862</v>
      </c>
      <c r="F168" s="23">
        <f t="shared" si="18"/>
        <v>-1296862</v>
      </c>
      <c r="G168" s="23">
        <v>-938712</v>
      </c>
      <c r="H168" s="23">
        <v>-1038066</v>
      </c>
      <c r="I168" s="23">
        <v>-190961</v>
      </c>
      <c r="J168" s="23">
        <v>-549111</v>
      </c>
      <c r="K168" s="23">
        <v>-290315</v>
      </c>
      <c r="L168" s="23">
        <v>-549111</v>
      </c>
      <c r="M168" s="24" t="s">
        <v>124</v>
      </c>
      <c r="N168" s="25">
        <v>131066</v>
      </c>
      <c r="O168" s="23" t="s">
        <v>355</v>
      </c>
      <c r="Q168" s="14"/>
      <c r="R168" s="14"/>
      <c r="S168" s="14"/>
    </row>
    <row r="169" spans="1:19" ht="18.75">
      <c r="B169" s="22">
        <f t="shared" si="15"/>
        <v>17.747370167448143</v>
      </c>
      <c r="C169" s="22">
        <f t="shared" si="16"/>
        <v>11.766499105098658</v>
      </c>
      <c r="D169" s="23">
        <v>22464000</v>
      </c>
      <c r="E169" s="23">
        <f t="shared" si="17"/>
        <v>1909149</v>
      </c>
      <c r="F169" s="23">
        <f t="shared" si="18"/>
        <v>2566427</v>
      </c>
      <c r="G169" s="23">
        <v>1265765</v>
      </c>
      <c r="H169" s="23">
        <f>1819884+35000+17145-16069</f>
        <v>1855960</v>
      </c>
      <c r="I169" s="23">
        <v>569072</v>
      </c>
      <c r="J169" s="23">
        <v>1212456</v>
      </c>
      <c r="K169" s="23">
        <f>687667-6066</f>
        <v>681601</v>
      </c>
      <c r="L169" s="23">
        <f>1399571-7503</f>
        <v>1392068</v>
      </c>
      <c r="M169" s="24" t="s">
        <v>125</v>
      </c>
      <c r="N169" s="25">
        <v>131080</v>
      </c>
      <c r="O169" s="23" t="s">
        <v>356</v>
      </c>
      <c r="Q169" s="14"/>
      <c r="R169" s="14"/>
      <c r="S169" s="14"/>
    </row>
    <row r="170" spans="1:19" ht="18.75">
      <c r="B170" s="22">
        <f t="shared" si="15"/>
        <v>195.23986612123466</v>
      </c>
      <c r="C170" s="22" t="str">
        <f t="shared" si="16"/>
        <v>-</v>
      </c>
      <c r="D170" s="23">
        <v>14700000</v>
      </c>
      <c r="E170" s="23">
        <f t="shared" si="17"/>
        <v>-4705</v>
      </c>
      <c r="F170" s="23">
        <f t="shared" si="18"/>
        <v>5143</v>
      </c>
      <c r="G170" s="23">
        <v>75292</v>
      </c>
      <c r="H170" s="23">
        <v>75292</v>
      </c>
      <c r="I170" s="23">
        <v>148359</v>
      </c>
      <c r="J170" s="23">
        <v>68362</v>
      </c>
      <c r="K170" s="23">
        <f>148179+180</f>
        <v>148359</v>
      </c>
      <c r="L170" s="23">
        <f>78210</f>
        <v>78210</v>
      </c>
      <c r="M170" s="24" t="s">
        <v>126</v>
      </c>
      <c r="N170" s="25">
        <v>131083</v>
      </c>
      <c r="O170" s="23" t="s">
        <v>357</v>
      </c>
      <c r="Q170" s="14"/>
      <c r="R170" s="14"/>
      <c r="S170" s="14"/>
    </row>
    <row r="171" spans="1:19" ht="18.75">
      <c r="A171" s="15"/>
      <c r="B171" s="22">
        <f t="shared" si="15"/>
        <v>11.558467545291194</v>
      </c>
      <c r="C171" s="22">
        <f t="shared" si="16"/>
        <v>31.652192110494926</v>
      </c>
      <c r="D171" s="23">
        <v>11495000</v>
      </c>
      <c r="E171" s="23">
        <f t="shared" si="17"/>
        <v>363166</v>
      </c>
      <c r="F171" s="23">
        <f t="shared" si="18"/>
        <v>454727</v>
      </c>
      <c r="G171" s="23">
        <v>994509</v>
      </c>
      <c r="H171" s="23">
        <f>1182086+24124</f>
        <v>1206210</v>
      </c>
      <c r="I171" s="23">
        <v>664038</v>
      </c>
      <c r="J171" s="23">
        <v>32695</v>
      </c>
      <c r="K171" s="23">
        <v>789386</v>
      </c>
      <c r="L171" s="23">
        <v>37903</v>
      </c>
      <c r="M171" s="24" t="s">
        <v>127</v>
      </c>
      <c r="N171" s="25">
        <v>131208</v>
      </c>
      <c r="O171" s="23" t="s">
        <v>358</v>
      </c>
      <c r="Q171" s="14"/>
      <c r="R171" s="14"/>
      <c r="S171" s="14"/>
    </row>
    <row r="172" spans="1:19" ht="18.75">
      <c r="B172" s="22">
        <f t="shared" si="15"/>
        <v>4.6020218174189713</v>
      </c>
      <c r="C172" s="22" t="s">
        <v>534</v>
      </c>
      <c r="D172" s="23">
        <v>131622426</v>
      </c>
      <c r="E172" s="23" t="s">
        <v>530</v>
      </c>
      <c r="F172" s="23">
        <f t="shared" si="18"/>
        <v>20793000</v>
      </c>
      <c r="G172" s="23">
        <v>28601000</v>
      </c>
      <c r="H172" s="23">
        <f>35795000-13000</f>
        <v>35782000</v>
      </c>
      <c r="I172" s="23" t="s">
        <v>530</v>
      </c>
      <c r="J172" s="23" t="s">
        <v>530</v>
      </c>
      <c r="K172" s="23">
        <v>7753000</v>
      </c>
      <c r="L172" s="23">
        <f>-7235000-1000</f>
        <v>-7236000</v>
      </c>
      <c r="M172" s="24" t="s">
        <v>128</v>
      </c>
      <c r="N172" s="25">
        <v>131213</v>
      </c>
      <c r="O172" s="23" t="s">
        <v>359</v>
      </c>
      <c r="Q172" s="14"/>
      <c r="R172" s="14"/>
      <c r="S172" s="14"/>
    </row>
    <row r="173" spans="1:19" ht="18.75">
      <c r="B173" s="22">
        <f t="shared" si="15"/>
        <v>0</v>
      </c>
      <c r="C173" s="22">
        <f t="shared" si="16"/>
        <v>0</v>
      </c>
      <c r="D173" s="23"/>
      <c r="E173" s="23">
        <f t="shared" si="17"/>
        <v>2610559</v>
      </c>
      <c r="F173" s="23">
        <f t="shared" si="18"/>
        <v>1307753</v>
      </c>
      <c r="G173" s="23">
        <v>2499855</v>
      </c>
      <c r="H173" s="23">
        <f>2604317+2716</f>
        <v>2607033</v>
      </c>
      <c r="I173" s="23">
        <v>578129</v>
      </c>
      <c r="J173" s="23">
        <v>688833</v>
      </c>
      <c r="K173" s="23">
        <v>578129</v>
      </c>
      <c r="L173" s="23">
        <v>-721151</v>
      </c>
      <c r="M173" s="24" t="s">
        <v>129</v>
      </c>
      <c r="N173" s="25">
        <v>131214</v>
      </c>
      <c r="O173" s="23"/>
      <c r="Q173" s="14"/>
      <c r="R173" s="14"/>
      <c r="S173" s="14"/>
    </row>
    <row r="174" spans="1:19" ht="18.75">
      <c r="B174" s="22">
        <f t="shared" si="15"/>
        <v>20.763229392557147</v>
      </c>
      <c r="C174" s="22" t="str">
        <f t="shared" si="16"/>
        <v>-</v>
      </c>
      <c r="D174" s="23">
        <v>9996000.0000000019</v>
      </c>
      <c r="E174" s="23">
        <f t="shared" si="17"/>
        <v>-1977</v>
      </c>
      <c r="F174" s="23">
        <f t="shared" si="18"/>
        <v>111648</v>
      </c>
      <c r="G174" s="23">
        <v>481428</v>
      </c>
      <c r="H174" s="23">
        <f>613608+62706</f>
        <v>676314</v>
      </c>
      <c r="I174" s="23">
        <v>450126</v>
      </c>
      <c r="J174" s="23">
        <v>-33279</v>
      </c>
      <c r="K174" s="23">
        <v>534765</v>
      </c>
      <c r="L174" s="23">
        <v>-29901</v>
      </c>
      <c r="M174" s="24" t="s">
        <v>130</v>
      </c>
      <c r="N174" s="25">
        <v>131243</v>
      </c>
      <c r="O174" s="23" t="s">
        <v>360</v>
      </c>
      <c r="Q174" s="14"/>
      <c r="R174" s="14"/>
      <c r="S174" s="14"/>
    </row>
    <row r="175" spans="1:19" ht="18.75">
      <c r="B175" s="22" t="str">
        <f t="shared" si="15"/>
        <v>-</v>
      </c>
      <c r="C175" s="22" t="str">
        <f t="shared" si="16"/>
        <v>-</v>
      </c>
      <c r="D175" s="23">
        <v>14700000</v>
      </c>
      <c r="E175" s="23">
        <f t="shared" si="17"/>
        <v>-413016</v>
      </c>
      <c r="F175" s="23">
        <f t="shared" si="18"/>
        <v>-1418554</v>
      </c>
      <c r="G175" s="23">
        <v>-3036493</v>
      </c>
      <c r="H175" s="23">
        <f>+-4214465+10662+1200000</f>
        <v>-3003803</v>
      </c>
      <c r="I175" s="23">
        <v>-1591284</v>
      </c>
      <c r="J175" s="23">
        <v>1032193</v>
      </c>
      <c r="K175" s="23">
        <f>-1580749+1458</f>
        <v>-1579291</v>
      </c>
      <c r="L175" s="23">
        <f>852+5106</f>
        <v>5958</v>
      </c>
      <c r="M175" s="24" t="s">
        <v>131</v>
      </c>
      <c r="N175" s="25">
        <v>131256</v>
      </c>
      <c r="O175" s="23" t="s">
        <v>361</v>
      </c>
      <c r="Q175" s="14"/>
      <c r="R175" s="14"/>
      <c r="S175" s="14"/>
    </row>
    <row r="176" spans="1:19" ht="18.75">
      <c r="B176" s="22">
        <f t="shared" si="15"/>
        <v>96.630599126608047</v>
      </c>
      <c r="C176" s="22" t="str">
        <f t="shared" si="16"/>
        <v>-</v>
      </c>
      <c r="D176" s="23">
        <v>11440000</v>
      </c>
      <c r="E176" s="23">
        <f t="shared" si="17"/>
        <v>-66961</v>
      </c>
      <c r="F176" s="23">
        <f t="shared" si="18"/>
        <v>-66961</v>
      </c>
      <c r="G176" s="23">
        <v>118389</v>
      </c>
      <c r="H176" s="23">
        <f>116234+2155</f>
        <v>118389</v>
      </c>
      <c r="I176" s="23">
        <v>93330</v>
      </c>
      <c r="J176" s="23">
        <v>-92020</v>
      </c>
      <c r="K176" s="23">
        <v>93330</v>
      </c>
      <c r="L176" s="23">
        <v>-92020</v>
      </c>
      <c r="M176" s="24" t="s">
        <v>132</v>
      </c>
      <c r="N176" s="25">
        <v>131262</v>
      </c>
      <c r="O176" s="23" t="s">
        <v>362</v>
      </c>
      <c r="Q176" s="14"/>
      <c r="R176" s="14"/>
      <c r="S176" s="14"/>
    </row>
    <row r="177" spans="1:17" s="14" customFormat="1" ht="18.75">
      <c r="A177" s="12"/>
      <c r="B177" s="22">
        <f t="shared" si="15"/>
        <v>0</v>
      </c>
      <c r="C177" s="22">
        <f t="shared" si="16"/>
        <v>0</v>
      </c>
      <c r="D177" s="23">
        <v>0</v>
      </c>
      <c r="E177" s="23">
        <f t="shared" si="17"/>
        <v>719714</v>
      </c>
      <c r="F177" s="23">
        <f t="shared" si="18"/>
        <v>873045</v>
      </c>
      <c r="G177" s="23">
        <v>938644</v>
      </c>
      <c r="H177" s="23">
        <v>1135327</v>
      </c>
      <c r="I177" s="23">
        <v>563777</v>
      </c>
      <c r="J177" s="23">
        <v>344847</v>
      </c>
      <c r="K177" s="23">
        <f>713267-50000</f>
        <v>663267</v>
      </c>
      <c r="L177" s="23">
        <v>400985</v>
      </c>
      <c r="M177" s="24" t="s">
        <v>470</v>
      </c>
      <c r="N177" s="25">
        <v>131288</v>
      </c>
      <c r="O177" s="23" t="s">
        <v>474</v>
      </c>
    </row>
    <row r="178" spans="1:17" s="14" customFormat="1" ht="18.75">
      <c r="A178" s="15"/>
      <c r="B178" s="22">
        <f t="shared" si="15"/>
        <v>8.2847847469168503</v>
      </c>
      <c r="C178" s="22" t="str">
        <f t="shared" si="16"/>
        <v>-</v>
      </c>
      <c r="D178" s="23">
        <v>2190000</v>
      </c>
      <c r="E178" s="23">
        <f t="shared" si="17"/>
        <v>-223144</v>
      </c>
      <c r="F178" s="23">
        <f t="shared" si="18"/>
        <v>-185432</v>
      </c>
      <c r="G178" s="23">
        <v>264340</v>
      </c>
      <c r="H178" s="23">
        <v>344552</v>
      </c>
      <c r="I178" s="23">
        <v>266088</v>
      </c>
      <c r="J178" s="23">
        <v>-221396</v>
      </c>
      <c r="K178" s="23">
        <v>308588</v>
      </c>
      <c r="L178" s="23">
        <v>-221396</v>
      </c>
      <c r="M178" s="24" t="s">
        <v>472</v>
      </c>
      <c r="N178" s="25">
        <v>141218</v>
      </c>
      <c r="O178" s="23" t="s">
        <v>473</v>
      </c>
    </row>
    <row r="179" spans="1:17" s="14" customFormat="1" ht="18.75">
      <c r="A179" s="15"/>
      <c r="B179" s="22"/>
      <c r="C179" s="22"/>
      <c r="D179" s="23"/>
      <c r="E179" s="23"/>
      <c r="F179" s="23"/>
      <c r="G179" s="23"/>
      <c r="H179" s="23"/>
      <c r="I179" s="23" t="s">
        <v>534</v>
      </c>
      <c r="J179" s="23" t="s">
        <v>530</v>
      </c>
      <c r="K179" s="23" t="s">
        <v>534</v>
      </c>
      <c r="L179" s="23">
        <v>-205152</v>
      </c>
      <c r="M179" s="24" t="s">
        <v>533</v>
      </c>
      <c r="N179" s="25"/>
      <c r="O179" s="23" t="s">
        <v>532</v>
      </c>
    </row>
    <row r="180" spans="1:17" s="26" customFormat="1" ht="20.25">
      <c r="B180" s="27">
        <f t="shared" si="15"/>
        <v>7.1624059329626872</v>
      </c>
      <c r="C180" s="27">
        <f t="shared" si="16"/>
        <v>7.2923009686076554</v>
      </c>
      <c r="D180" s="28">
        <f>SUM(D165:D179)</f>
        <v>269214476.30000001</v>
      </c>
      <c r="E180" s="28">
        <f t="shared" si="17"/>
        <v>36917631</v>
      </c>
      <c r="F180" s="28">
        <f t="shared" si="18"/>
        <v>28432976</v>
      </c>
      <c r="G180" s="28">
        <f t="shared" ref="G180:L180" si="22">SUM(G165:G179)</f>
        <v>37587157</v>
      </c>
      <c r="H180" s="28">
        <f t="shared" si="22"/>
        <v>46928140</v>
      </c>
      <c r="I180" s="28">
        <f t="shared" si="22"/>
        <v>6061545</v>
      </c>
      <c r="J180" s="28">
        <f t="shared" si="22"/>
        <v>5392019</v>
      </c>
      <c r="K180" s="28">
        <f t="shared" si="22"/>
        <v>14219073</v>
      </c>
      <c r="L180" s="28">
        <f t="shared" si="22"/>
        <v>-4276091</v>
      </c>
      <c r="M180" s="29" t="s">
        <v>545</v>
      </c>
      <c r="N180" s="30"/>
      <c r="O180" s="28"/>
      <c r="P180" s="38"/>
      <c r="Q180" s="38"/>
    </row>
    <row r="181" spans="1:17" s="15" customFormat="1" ht="20.25">
      <c r="A181" s="12"/>
      <c r="B181" s="31"/>
      <c r="C181" s="31"/>
      <c r="D181" s="32"/>
      <c r="E181" s="32"/>
      <c r="F181" s="32"/>
      <c r="G181" s="32"/>
      <c r="H181" s="32"/>
      <c r="I181" s="32"/>
      <c r="J181" s="32"/>
      <c r="K181" s="32"/>
      <c r="L181" s="32"/>
      <c r="M181" s="33"/>
      <c r="N181" s="34"/>
      <c r="O181" s="32"/>
    </row>
    <row r="182" spans="1:17" s="14" customFormat="1" ht="18.75">
      <c r="A182" s="12"/>
      <c r="B182" s="22">
        <f t="shared" si="15"/>
        <v>0.53415586350415012</v>
      </c>
      <c r="C182" s="22">
        <f t="shared" si="16"/>
        <v>0.51524593687891329</v>
      </c>
      <c r="D182" s="23">
        <v>8583382.6199999992</v>
      </c>
      <c r="E182" s="23">
        <f t="shared" si="17"/>
        <v>16658807</v>
      </c>
      <c r="F182" s="23">
        <f t="shared" si="18"/>
        <v>23180696</v>
      </c>
      <c r="G182" s="23">
        <v>16069060</v>
      </c>
      <c r="H182" s="23">
        <v>22297939</v>
      </c>
      <c r="I182" s="23">
        <v>-573129</v>
      </c>
      <c r="J182" s="23">
        <v>16618</v>
      </c>
      <c r="K182" s="23">
        <v>-573129</v>
      </c>
      <c r="L182" s="23">
        <v>309628</v>
      </c>
      <c r="M182" s="24" t="s">
        <v>133</v>
      </c>
      <c r="N182" s="25">
        <v>131060</v>
      </c>
      <c r="O182" s="23" t="s">
        <v>363</v>
      </c>
    </row>
    <row r="183" spans="1:17" s="14" customFormat="1" ht="18.75">
      <c r="A183" s="12"/>
      <c r="B183" s="22">
        <f t="shared" si="15"/>
        <v>12.376265462329311</v>
      </c>
      <c r="C183" s="22">
        <f t="shared" si="16"/>
        <v>13.079857247403117</v>
      </c>
      <c r="D183" s="23">
        <v>1287500000</v>
      </c>
      <c r="E183" s="23">
        <f t="shared" si="17"/>
        <v>98433796</v>
      </c>
      <c r="F183" s="23">
        <f t="shared" si="18"/>
        <v>133046170</v>
      </c>
      <c r="G183" s="23">
        <v>104029766</v>
      </c>
      <c r="H183" s="23">
        <v>140018249</v>
      </c>
      <c r="I183" s="23">
        <v>51173426</v>
      </c>
      <c r="J183" s="23">
        <v>45577456</v>
      </c>
      <c r="K183" s="23">
        <f>68017795+350202</f>
        <v>68367997</v>
      </c>
      <c r="L183" s="23">
        <f>61211782+184136</f>
        <v>61395918</v>
      </c>
      <c r="M183" s="24" t="s">
        <v>134</v>
      </c>
      <c r="N183" s="25">
        <v>131206</v>
      </c>
      <c r="O183" s="23" t="s">
        <v>364</v>
      </c>
    </row>
    <row r="184" spans="1:17" s="14" customFormat="1" ht="18.75" hidden="1">
      <c r="A184" s="12"/>
      <c r="B184" s="22" t="str">
        <f t="shared" si="15"/>
        <v>-</v>
      </c>
      <c r="C184" s="22" t="str">
        <f t="shared" si="16"/>
        <v>-</v>
      </c>
      <c r="D184" s="23">
        <v>14280000</v>
      </c>
      <c r="E184" s="23">
        <f t="shared" si="17"/>
        <v>-11110701</v>
      </c>
      <c r="F184" s="23">
        <f t="shared" si="18"/>
        <v>-10706505</v>
      </c>
      <c r="G184" s="23">
        <f>+H184-404196</f>
        <v>-11110701</v>
      </c>
      <c r="H184" s="23">
        <f>-11450460+743955</f>
        <v>-10706505</v>
      </c>
      <c r="I184" s="23"/>
      <c r="J184" s="23"/>
      <c r="K184" s="23"/>
      <c r="L184" s="23"/>
      <c r="M184" s="24" t="s">
        <v>135</v>
      </c>
      <c r="N184" s="25">
        <v>131232</v>
      </c>
      <c r="O184" s="23" t="s">
        <v>365</v>
      </c>
    </row>
    <row r="185" spans="1:17" s="26" customFormat="1" ht="20.25">
      <c r="B185" s="27">
        <f t="shared" si="15"/>
        <v>12.022992253697362</v>
      </c>
      <c r="C185" s="27">
        <f t="shared" si="16"/>
        <v>12.601840872462594</v>
      </c>
      <c r="D185" s="28">
        <f>SUM(D182:D184)</f>
        <v>1310363382.6199999</v>
      </c>
      <c r="E185" s="28">
        <f t="shared" si="17"/>
        <v>103981902</v>
      </c>
      <c r="F185" s="28">
        <f t="shared" si="18"/>
        <v>145520361</v>
      </c>
      <c r="G185" s="28">
        <f t="shared" ref="G185:L185" si="23">SUM(G182:G184)</f>
        <v>108988125</v>
      </c>
      <c r="H185" s="28">
        <f t="shared" si="23"/>
        <v>151609683</v>
      </c>
      <c r="I185" s="28">
        <f t="shared" si="23"/>
        <v>50600297</v>
      </c>
      <c r="J185" s="28">
        <f t="shared" si="23"/>
        <v>45594074</v>
      </c>
      <c r="K185" s="28">
        <f t="shared" si="23"/>
        <v>67794868</v>
      </c>
      <c r="L185" s="28">
        <f t="shared" si="23"/>
        <v>61705546</v>
      </c>
      <c r="M185" s="29" t="s">
        <v>546</v>
      </c>
      <c r="N185" s="30"/>
      <c r="O185" s="28"/>
      <c r="P185" s="38"/>
      <c r="Q185" s="38"/>
    </row>
    <row r="186" spans="1:17" s="15" customFormat="1" ht="20.25">
      <c r="A186" s="12"/>
      <c r="B186" s="31"/>
      <c r="C186" s="31"/>
      <c r="D186" s="32"/>
      <c r="E186" s="32"/>
      <c r="F186" s="32"/>
      <c r="G186" s="32"/>
      <c r="H186" s="32"/>
      <c r="I186" s="32"/>
      <c r="J186" s="32"/>
      <c r="K186" s="32"/>
      <c r="L186" s="32"/>
      <c r="M186" s="33"/>
      <c r="N186" s="34"/>
      <c r="O186" s="32"/>
    </row>
    <row r="187" spans="1:17" s="14" customFormat="1" ht="18.75">
      <c r="A187" s="12"/>
      <c r="B187" s="22">
        <f t="shared" si="15"/>
        <v>18.361183024232805</v>
      </c>
      <c r="C187" s="22">
        <f t="shared" si="16"/>
        <v>15.768876122326706</v>
      </c>
      <c r="D187" s="23">
        <v>92775000</v>
      </c>
      <c r="E187" s="23">
        <f t="shared" si="17"/>
        <v>5883425</v>
      </c>
      <c r="F187" s="23">
        <f t="shared" si="18"/>
        <v>7275646</v>
      </c>
      <c r="G187" s="23">
        <v>5052779</v>
      </c>
      <c r="H187" s="23">
        <f>6278155+226124</f>
        <v>6504279</v>
      </c>
      <c r="I187" s="23">
        <v>2402683</v>
      </c>
      <c r="J187" s="23">
        <v>3233329</v>
      </c>
      <c r="K187" s="23">
        <v>2985014</v>
      </c>
      <c r="L187" s="23">
        <v>3756381</v>
      </c>
      <c r="M187" s="24" t="s">
        <v>136</v>
      </c>
      <c r="N187" s="25">
        <v>131013</v>
      </c>
      <c r="O187" s="23" t="s">
        <v>366</v>
      </c>
    </row>
    <row r="188" spans="1:17" s="14" customFormat="1" ht="18.75">
      <c r="A188" s="12"/>
      <c r="B188" s="22">
        <f t="shared" si="15"/>
        <v>29.330226204347301</v>
      </c>
      <c r="C188" s="22">
        <f t="shared" si="16"/>
        <v>12.660471963895494</v>
      </c>
      <c r="D188" s="23">
        <v>6570000</v>
      </c>
      <c r="E188" s="23">
        <f t="shared" si="17"/>
        <v>518938</v>
      </c>
      <c r="F188" s="23">
        <f t="shared" si="18"/>
        <v>582332</v>
      </c>
      <c r="G188" s="23">
        <v>224001</v>
      </c>
      <c r="H188" s="23">
        <f>242974+27159</f>
        <v>270133</v>
      </c>
      <c r="I188" s="23">
        <v>-188899</v>
      </c>
      <c r="J188" s="23">
        <v>106038</v>
      </c>
      <c r="K188" s="23">
        <v>-188899</v>
      </c>
      <c r="L188" s="23">
        <v>123300</v>
      </c>
      <c r="M188" s="24" t="s">
        <v>137</v>
      </c>
      <c r="N188" s="25">
        <v>131030</v>
      </c>
      <c r="O188" s="23" t="s">
        <v>367</v>
      </c>
    </row>
    <row r="189" spans="1:17" s="14" customFormat="1" ht="18.75" hidden="1">
      <c r="A189" s="12"/>
      <c r="B189" s="22" t="str">
        <f t="shared" si="15"/>
        <v>-</v>
      </c>
      <c r="C189" s="22" t="str">
        <f t="shared" si="16"/>
        <v>-</v>
      </c>
      <c r="D189" s="23">
        <v>56875</v>
      </c>
      <c r="E189" s="23">
        <f t="shared" si="17"/>
        <v>-656315</v>
      </c>
      <c r="F189" s="23">
        <f t="shared" si="18"/>
        <v>-656315</v>
      </c>
      <c r="G189" s="23">
        <v>-656315</v>
      </c>
      <c r="H189" s="23">
        <v>-656315</v>
      </c>
      <c r="I189" s="23"/>
      <c r="J189" s="23"/>
      <c r="K189" s="23"/>
      <c r="L189" s="23"/>
      <c r="M189" s="24" t="s">
        <v>138</v>
      </c>
      <c r="N189" s="25">
        <v>131075</v>
      </c>
      <c r="O189" s="23" t="s">
        <v>368</v>
      </c>
    </row>
    <row r="190" spans="1:17" s="26" customFormat="1" ht="20.25">
      <c r="B190" s="27">
        <f t="shared" si="15"/>
        <v>21.513392050367226</v>
      </c>
      <c r="C190" s="27">
        <f t="shared" si="16"/>
        <v>17.299172405103473</v>
      </c>
      <c r="D190" s="28">
        <f>SUM(D187:D189)</f>
        <v>99401875</v>
      </c>
      <c r="E190" s="28">
        <f t="shared" si="17"/>
        <v>5746048</v>
      </c>
      <c r="F190" s="28">
        <f t="shared" si="18"/>
        <v>7201663</v>
      </c>
      <c r="G190" s="28">
        <f t="shared" ref="G190:L190" si="24">SUM(G187:G189)</f>
        <v>4620465</v>
      </c>
      <c r="H190" s="28">
        <f t="shared" si="24"/>
        <v>6118097</v>
      </c>
      <c r="I190" s="28">
        <f t="shared" si="24"/>
        <v>2213784</v>
      </c>
      <c r="J190" s="28">
        <f t="shared" si="24"/>
        <v>3339367</v>
      </c>
      <c r="K190" s="28">
        <f t="shared" si="24"/>
        <v>2796115</v>
      </c>
      <c r="L190" s="28">
        <f t="shared" si="24"/>
        <v>3879681</v>
      </c>
      <c r="M190" s="29" t="s">
        <v>547</v>
      </c>
      <c r="N190" s="30"/>
      <c r="O190" s="28"/>
      <c r="P190" s="38"/>
      <c r="Q190" s="38"/>
    </row>
    <row r="191" spans="1:17" s="15" customFormat="1" ht="20.25">
      <c r="A191" s="12"/>
      <c r="B191" s="31"/>
      <c r="C191" s="31"/>
      <c r="D191" s="32"/>
      <c r="E191" s="32"/>
      <c r="F191" s="32"/>
      <c r="G191" s="32"/>
      <c r="H191" s="32"/>
      <c r="I191" s="32"/>
      <c r="J191" s="32"/>
      <c r="K191" s="32"/>
      <c r="L191" s="32"/>
      <c r="M191" s="33"/>
      <c r="N191" s="34"/>
      <c r="O191" s="32"/>
    </row>
    <row r="192" spans="1:17" s="14" customFormat="1" ht="18.75">
      <c r="A192" s="4"/>
      <c r="B192" s="22">
        <f t="shared" si="15"/>
        <v>63.769071351543552</v>
      </c>
      <c r="C192" s="22">
        <f t="shared" si="16"/>
        <v>199.59031319513738</v>
      </c>
      <c r="D192" s="23">
        <v>294840000</v>
      </c>
      <c r="E192" s="23">
        <f t="shared" si="17"/>
        <v>1477226</v>
      </c>
      <c r="F192" s="23">
        <f t="shared" si="18"/>
        <v>3013220</v>
      </c>
      <c r="G192" s="23">
        <v>4623558</v>
      </c>
      <c r="H192" s="23">
        <f>5126691+202911</f>
        <v>5329602</v>
      </c>
      <c r="I192" s="23">
        <v>-385911</v>
      </c>
      <c r="J192" s="23">
        <v>-3532243</v>
      </c>
      <c r="K192" s="23">
        <v>-385911</v>
      </c>
      <c r="L192" s="23">
        <v>-2702293</v>
      </c>
      <c r="M192" s="24" t="s">
        <v>139</v>
      </c>
      <c r="N192" s="25">
        <v>131004</v>
      </c>
      <c r="O192" s="23" t="s">
        <v>369</v>
      </c>
    </row>
    <row r="193" spans="1:17" s="14" customFormat="1" ht="18.75">
      <c r="A193" s="12"/>
      <c r="B193" s="22">
        <f t="shared" si="15"/>
        <v>7.4716639702716483</v>
      </c>
      <c r="C193" s="22">
        <f t="shared" si="16"/>
        <v>6.9208307525060357</v>
      </c>
      <c r="D193" s="23">
        <v>43800000</v>
      </c>
      <c r="E193" s="23">
        <f t="shared" si="17"/>
        <v>6328720</v>
      </c>
      <c r="F193" s="23">
        <f t="shared" si="18"/>
        <v>7165381</v>
      </c>
      <c r="G193" s="23">
        <v>5862148</v>
      </c>
      <c r="H193" s="23">
        <v>6738115</v>
      </c>
      <c r="I193" s="23">
        <v>2009111</v>
      </c>
      <c r="J193" s="23">
        <v>2475683</v>
      </c>
      <c r="K193" s="23">
        <v>2451435</v>
      </c>
      <c r="L193" s="23">
        <v>2878701</v>
      </c>
      <c r="M193" s="24" t="s">
        <v>140</v>
      </c>
      <c r="N193" s="25">
        <v>131010</v>
      </c>
      <c r="O193" s="23" t="s">
        <v>370</v>
      </c>
    </row>
    <row r="194" spans="1:17" s="14" customFormat="1" ht="18.75">
      <c r="A194" s="12"/>
      <c r="B194" s="22">
        <f t="shared" si="15"/>
        <v>0</v>
      </c>
      <c r="C194" s="22" t="str">
        <f t="shared" si="16"/>
        <v>-</v>
      </c>
      <c r="D194" s="23"/>
      <c r="E194" s="23">
        <f t="shared" si="17"/>
        <v>-3500424</v>
      </c>
      <c r="F194" s="23">
        <f t="shared" si="18"/>
        <v>-1635666</v>
      </c>
      <c r="G194" s="23">
        <v>8442032</v>
      </c>
      <c r="H194" s="23">
        <f>10292965+321847</f>
        <v>10614812</v>
      </c>
      <c r="I194" s="23">
        <v>13173263</v>
      </c>
      <c r="J194" s="23">
        <v>1230807</v>
      </c>
      <c r="K194" s="23">
        <v>14312571</v>
      </c>
      <c r="L194" s="23">
        <v>2062093</v>
      </c>
      <c r="M194" s="24" t="s">
        <v>141</v>
      </c>
      <c r="N194" s="25">
        <v>131203</v>
      </c>
      <c r="O194" s="23"/>
    </row>
    <row r="195" spans="1:17" s="14" customFormat="1" ht="18.75">
      <c r="A195" s="12"/>
      <c r="B195" s="22" t="str">
        <f t="shared" si="15"/>
        <v>-</v>
      </c>
      <c r="C195" s="22" t="str">
        <f t="shared" si="16"/>
        <v>-</v>
      </c>
      <c r="D195" s="23">
        <v>0</v>
      </c>
      <c r="E195" s="23">
        <f t="shared" si="17"/>
        <v>-723296</v>
      </c>
      <c r="F195" s="23">
        <f t="shared" si="18"/>
        <v>-572624</v>
      </c>
      <c r="G195" s="23">
        <v>-1754439</v>
      </c>
      <c r="H195" s="23">
        <v>-1754439</v>
      </c>
      <c r="I195" s="23">
        <v>-177338</v>
      </c>
      <c r="J195" s="23">
        <v>853805</v>
      </c>
      <c r="K195" s="23">
        <v>-177338</v>
      </c>
      <c r="L195" s="23">
        <v>1004477</v>
      </c>
      <c r="M195" s="24" t="s">
        <v>142</v>
      </c>
      <c r="N195" s="25">
        <v>141103</v>
      </c>
      <c r="O195" s="23" t="s">
        <v>371</v>
      </c>
    </row>
    <row r="196" spans="1:17" s="14" customFormat="1" ht="18.75">
      <c r="A196" s="15"/>
      <c r="B196" s="22">
        <f t="shared" si="15"/>
        <v>18.189241815209684</v>
      </c>
      <c r="C196" s="22" t="str">
        <f t="shared" si="16"/>
        <v>-</v>
      </c>
      <c r="D196" s="23">
        <v>197440000</v>
      </c>
      <c r="E196" s="23">
        <f t="shared" si="17"/>
        <v>-915964</v>
      </c>
      <c r="F196" s="23">
        <f t="shared" si="18"/>
        <v>-377954</v>
      </c>
      <c r="G196" s="23">
        <v>10854768</v>
      </c>
      <c r="H196" s="23">
        <f>13203973+428524</f>
        <v>13632497</v>
      </c>
      <c r="I196" s="23">
        <v>17819087</v>
      </c>
      <c r="J196" s="23">
        <v>6048355</v>
      </c>
      <c r="K196" s="23">
        <v>21084505</v>
      </c>
      <c r="L196" s="23">
        <v>7074054</v>
      </c>
      <c r="M196" s="24" t="s">
        <v>143</v>
      </c>
      <c r="N196" s="25">
        <v>142041</v>
      </c>
      <c r="O196" s="23" t="s">
        <v>372</v>
      </c>
    </row>
    <row r="197" spans="1:17" s="14" customFormat="1" ht="18.75">
      <c r="A197" s="15"/>
      <c r="B197" s="22"/>
      <c r="C197" s="22"/>
      <c r="D197" s="23"/>
      <c r="E197" s="23">
        <f>+G197-I197+J197</f>
        <v>2990976</v>
      </c>
      <c r="F197" s="23">
        <f>+H197-K197+L197</f>
        <v>3380775</v>
      </c>
      <c r="G197" s="23"/>
      <c r="H197" s="23"/>
      <c r="I197" s="23">
        <v>3846605</v>
      </c>
      <c r="J197" s="23">
        <v>6837581</v>
      </c>
      <c r="K197" s="23">
        <v>3648268</v>
      </c>
      <c r="L197" s="23">
        <v>7029043</v>
      </c>
      <c r="M197" s="24" t="s">
        <v>535</v>
      </c>
      <c r="N197" s="25"/>
      <c r="O197" s="23"/>
    </row>
    <row r="198" spans="1:17" s="26" customFormat="1" ht="20.25">
      <c r="B198" s="27">
        <f t="shared" si="15"/>
        <v>19.126541976655044</v>
      </c>
      <c r="C198" s="27">
        <f t="shared" si="16"/>
        <v>94.760022470329162</v>
      </c>
      <c r="D198" s="28">
        <f>SUM(D192:D197)</f>
        <v>536080000</v>
      </c>
      <c r="E198" s="28">
        <f t="shared" si="17"/>
        <v>5657238</v>
      </c>
      <c r="F198" s="28">
        <f t="shared" si="18"/>
        <v>10973132</v>
      </c>
      <c r="G198" s="28">
        <f t="shared" ref="G198:L198" si="25">SUM(G192:G197)</f>
        <v>28028067</v>
      </c>
      <c r="H198" s="28">
        <f t="shared" si="25"/>
        <v>34560587</v>
      </c>
      <c r="I198" s="28">
        <f t="shared" si="25"/>
        <v>36284817</v>
      </c>
      <c r="J198" s="28">
        <f t="shared" si="25"/>
        <v>13913988</v>
      </c>
      <c r="K198" s="28">
        <f t="shared" si="25"/>
        <v>40933530</v>
      </c>
      <c r="L198" s="28">
        <f t="shared" si="25"/>
        <v>17346075</v>
      </c>
      <c r="M198" s="29" t="s">
        <v>548</v>
      </c>
      <c r="N198" s="30"/>
      <c r="O198" s="28"/>
      <c r="P198" s="38"/>
      <c r="Q198" s="38"/>
    </row>
    <row r="199" spans="1:17" s="15" customFormat="1" ht="20.25">
      <c r="A199" s="12"/>
      <c r="B199" s="31"/>
      <c r="C199" s="31"/>
      <c r="D199" s="32"/>
      <c r="E199" s="32"/>
      <c r="F199" s="32"/>
      <c r="G199" s="32"/>
      <c r="H199" s="32"/>
      <c r="I199" s="32"/>
      <c r="J199" s="32"/>
      <c r="K199" s="32"/>
      <c r="L199" s="32"/>
      <c r="M199" s="33"/>
      <c r="N199" s="34"/>
      <c r="O199" s="32"/>
    </row>
    <row r="200" spans="1:17" s="14" customFormat="1" ht="18.75">
      <c r="A200" s="15"/>
      <c r="B200" s="22">
        <f t="shared" si="15"/>
        <v>6.8910801217872875</v>
      </c>
      <c r="C200" s="22" t="s">
        <v>534</v>
      </c>
      <c r="D200" s="23">
        <v>64500000</v>
      </c>
      <c r="E200" s="23" t="s">
        <v>530</v>
      </c>
      <c r="F200" s="23">
        <f t="shared" si="18"/>
        <v>11063094</v>
      </c>
      <c r="G200" s="23">
        <v>9359926</v>
      </c>
      <c r="H200" s="23">
        <f>9359926+45000+289072</f>
        <v>9693998</v>
      </c>
      <c r="I200" s="23" t="s">
        <v>530</v>
      </c>
      <c r="J200" s="23" t="s">
        <v>530</v>
      </c>
      <c r="K200" s="23">
        <v>4054316</v>
      </c>
      <c r="L200" s="23">
        <v>5423412</v>
      </c>
      <c r="M200" s="24" t="s">
        <v>144</v>
      </c>
      <c r="N200" s="25">
        <v>131022</v>
      </c>
      <c r="O200" s="23" t="s">
        <v>373</v>
      </c>
    </row>
    <row r="201" spans="1:17" s="14" customFormat="1" ht="18.75">
      <c r="A201" s="12"/>
      <c r="B201" s="22">
        <f t="shared" si="15"/>
        <v>8.8974354450775959</v>
      </c>
      <c r="C201" s="22">
        <f t="shared" si="16"/>
        <v>10.996958210831968</v>
      </c>
      <c r="D201" s="23">
        <v>3026000</v>
      </c>
      <c r="E201" s="23">
        <f t="shared" si="17"/>
        <v>275167</v>
      </c>
      <c r="F201" s="23">
        <f t="shared" si="18"/>
        <v>451890</v>
      </c>
      <c r="G201" s="23">
        <v>340098</v>
      </c>
      <c r="H201" s="23">
        <f>433637+44994</f>
        <v>478631</v>
      </c>
      <c r="I201" s="23">
        <v>334277</v>
      </c>
      <c r="J201" s="23">
        <v>269346</v>
      </c>
      <c r="K201" s="23">
        <v>334277</v>
      </c>
      <c r="L201" s="23">
        <v>307536</v>
      </c>
      <c r="M201" s="24" t="s">
        <v>145</v>
      </c>
      <c r="N201" s="25">
        <v>131023</v>
      </c>
      <c r="O201" s="23" t="s">
        <v>374</v>
      </c>
    </row>
    <row r="202" spans="1:17" s="14" customFormat="1" ht="18.75">
      <c r="A202" s="12"/>
      <c r="B202" s="22">
        <f t="shared" si="15"/>
        <v>85.582544822141628</v>
      </c>
      <c r="C202" s="22">
        <f t="shared" si="16"/>
        <v>32.651778386967223</v>
      </c>
      <c r="D202" s="23">
        <v>22440000</v>
      </c>
      <c r="E202" s="23">
        <f t="shared" si="17"/>
        <v>687252</v>
      </c>
      <c r="F202" s="23">
        <f t="shared" si="18"/>
        <v>1086012</v>
      </c>
      <c r="G202" s="23">
        <v>262203</v>
      </c>
      <c r="H202" s="23">
        <v>695577</v>
      </c>
      <c r="I202" s="23">
        <v>490440</v>
      </c>
      <c r="J202" s="23">
        <v>915489</v>
      </c>
      <c r="K202" s="23">
        <v>702587</v>
      </c>
      <c r="L202" s="23">
        <v>1093022</v>
      </c>
      <c r="M202" s="24" t="s">
        <v>146</v>
      </c>
      <c r="N202" s="25">
        <v>131062</v>
      </c>
      <c r="O202" s="23" t="s">
        <v>375</v>
      </c>
    </row>
    <row r="203" spans="1:17" s="14" customFormat="1" ht="18.75">
      <c r="A203" s="12"/>
      <c r="B203" s="22">
        <f t="shared" si="15"/>
        <v>696.27419281507866</v>
      </c>
      <c r="C203" s="22">
        <f t="shared" si="16"/>
        <v>67.358076527467048</v>
      </c>
      <c r="D203" s="23">
        <v>77797500.659999996</v>
      </c>
      <c r="E203" s="23">
        <f t="shared" si="17"/>
        <v>1154984</v>
      </c>
      <c r="F203" s="23">
        <f t="shared" si="18"/>
        <v>1348429</v>
      </c>
      <c r="G203" s="23">
        <v>111734</v>
      </c>
      <c r="H203" s="23">
        <f>255914+21000</f>
        <v>276914</v>
      </c>
      <c r="I203" s="23">
        <v>-670508</v>
      </c>
      <c r="J203" s="23">
        <v>372742</v>
      </c>
      <c r="K203" s="23">
        <v>-670508</v>
      </c>
      <c r="L203" s="23">
        <v>401007</v>
      </c>
      <c r="M203" s="24" t="s">
        <v>147</v>
      </c>
      <c r="N203" s="25">
        <v>131064</v>
      </c>
      <c r="O203" s="23" t="s">
        <v>376</v>
      </c>
    </row>
    <row r="204" spans="1:17" s="14" customFormat="1" ht="18.75">
      <c r="A204" s="15"/>
      <c r="B204" s="22" t="str">
        <f t="shared" ref="B204:B269" si="26">+IF(G204&gt;0,+D204/G204,"-")</f>
        <v>-</v>
      </c>
      <c r="C204" s="22">
        <f t="shared" ref="C204:C269" si="27">+IF(E204&gt;0,+D204/E204,"-")</f>
        <v>87.236422160997293</v>
      </c>
      <c r="D204" s="23">
        <v>3198000</v>
      </c>
      <c r="E204" s="23">
        <f t="shared" ref="E204:E269" si="28">+G204-I204+J204</f>
        <v>36659</v>
      </c>
      <c r="F204" s="23">
        <f t="shared" ref="F204:F269" si="29">+H204-K204+L204</f>
        <v>36659</v>
      </c>
      <c r="G204" s="23">
        <v>-405470</v>
      </c>
      <c r="H204" s="23">
        <v>-405470</v>
      </c>
      <c r="I204" s="23">
        <v>-397648</v>
      </c>
      <c r="J204" s="23">
        <v>44481</v>
      </c>
      <c r="K204" s="23">
        <v>-397648</v>
      </c>
      <c r="L204" s="23">
        <v>44481</v>
      </c>
      <c r="M204" s="24" t="s">
        <v>148</v>
      </c>
      <c r="N204" s="25">
        <v>131081</v>
      </c>
      <c r="O204" s="23" t="s">
        <v>377</v>
      </c>
    </row>
    <row r="205" spans="1:17" s="14" customFormat="1" ht="18.75">
      <c r="A205" s="12"/>
      <c r="B205" s="22">
        <f t="shared" si="26"/>
        <v>241.11900532859681</v>
      </c>
      <c r="C205" s="22" t="s">
        <v>534</v>
      </c>
      <c r="D205" s="23">
        <v>24435000</v>
      </c>
      <c r="E205" s="23" t="s">
        <v>530</v>
      </c>
      <c r="F205" s="23">
        <f t="shared" si="29"/>
        <v>-605403</v>
      </c>
      <c r="G205" s="23">
        <v>101340</v>
      </c>
      <c r="H205" s="23">
        <v>102320</v>
      </c>
      <c r="I205" s="23" t="s">
        <v>530</v>
      </c>
      <c r="J205" s="23" t="s">
        <v>530</v>
      </c>
      <c r="K205" s="23">
        <v>80340</v>
      </c>
      <c r="L205" s="23">
        <v>-627383</v>
      </c>
      <c r="M205" s="24" t="s">
        <v>149</v>
      </c>
      <c r="N205" s="25">
        <v>131086</v>
      </c>
      <c r="O205" s="23" t="s">
        <v>378</v>
      </c>
    </row>
    <row r="206" spans="1:17" s="14" customFormat="1" ht="18.75" hidden="1">
      <c r="A206" s="12"/>
      <c r="B206" s="22" t="str">
        <f t="shared" si="26"/>
        <v>-</v>
      </c>
      <c r="C206" s="22" t="str">
        <f t="shared" si="27"/>
        <v>-</v>
      </c>
      <c r="D206" s="23"/>
      <c r="E206" s="23">
        <f t="shared" si="28"/>
        <v>0</v>
      </c>
      <c r="F206" s="23">
        <f t="shared" si="29"/>
        <v>0</v>
      </c>
      <c r="G206" s="23"/>
      <c r="H206" s="23"/>
      <c r="I206" s="23"/>
      <c r="J206" s="23"/>
      <c r="K206" s="23"/>
      <c r="L206" s="23"/>
      <c r="M206" s="24" t="s">
        <v>150</v>
      </c>
      <c r="N206" s="25">
        <v>131201</v>
      </c>
      <c r="O206" s="23"/>
    </row>
    <row r="207" spans="1:17" s="14" customFormat="1" ht="18.75" hidden="1">
      <c r="A207" s="15"/>
      <c r="B207" s="22">
        <f t="shared" si="26"/>
        <v>0</v>
      </c>
      <c r="C207" s="22">
        <f t="shared" si="27"/>
        <v>0</v>
      </c>
      <c r="D207" s="23"/>
      <c r="E207" s="23">
        <f t="shared" si="28"/>
        <v>2823847</v>
      </c>
      <c r="F207" s="23">
        <f t="shared" si="29"/>
        <v>3948981</v>
      </c>
      <c r="G207" s="23">
        <f>3948981-972432-49179-49179-21000-33344</f>
        <v>2823847</v>
      </c>
      <c r="H207" s="23">
        <v>3948981</v>
      </c>
      <c r="I207" s="23"/>
      <c r="J207" s="23"/>
      <c r="K207" s="23"/>
      <c r="L207" s="23"/>
      <c r="M207" s="24" t="s">
        <v>151</v>
      </c>
      <c r="N207" s="25">
        <v>131215</v>
      </c>
      <c r="O207" s="23"/>
    </row>
    <row r="208" spans="1:17" s="14" customFormat="1" ht="18.75">
      <c r="A208" s="12"/>
      <c r="B208" s="22">
        <f t="shared" si="26"/>
        <v>17.56240190370108</v>
      </c>
      <c r="C208" s="22">
        <f t="shared" si="27"/>
        <v>13.54266304878287</v>
      </c>
      <c r="D208" s="23">
        <v>22200000.000000004</v>
      </c>
      <c r="E208" s="23">
        <f t="shared" si="28"/>
        <v>1639264</v>
      </c>
      <c r="F208" s="23">
        <f t="shared" si="29"/>
        <v>2065599</v>
      </c>
      <c r="G208" s="23">
        <v>1264064</v>
      </c>
      <c r="H208" s="23">
        <f>1796274+35000</f>
        <v>1831274</v>
      </c>
      <c r="I208" s="23">
        <v>261482</v>
      </c>
      <c r="J208" s="23">
        <v>636682</v>
      </c>
      <c r="K208" s="23">
        <v>513169</v>
      </c>
      <c r="L208" s="23">
        <v>747494</v>
      </c>
      <c r="M208" s="24" t="s">
        <v>152</v>
      </c>
      <c r="N208" s="25">
        <v>131219</v>
      </c>
      <c r="O208" s="23" t="s">
        <v>379</v>
      </c>
    </row>
    <row r="209" spans="1:17" s="14" customFormat="1" ht="18.75">
      <c r="A209" s="12"/>
      <c r="B209" s="22" t="str">
        <f t="shared" si="26"/>
        <v>-</v>
      </c>
      <c r="C209" s="22" t="str">
        <f t="shared" si="27"/>
        <v>-</v>
      </c>
      <c r="D209" s="23">
        <v>6450000</v>
      </c>
      <c r="E209" s="23">
        <f t="shared" si="28"/>
        <v>-4325958</v>
      </c>
      <c r="F209" s="23">
        <f t="shared" si="29"/>
        <v>-4302843</v>
      </c>
      <c r="G209" s="23">
        <f>-1702428</f>
        <v>-1702428</v>
      </c>
      <c r="H209" s="23">
        <f>-1653906</f>
        <v>-1653906</v>
      </c>
      <c r="I209" s="23">
        <v>-776470</v>
      </c>
      <c r="J209" s="23">
        <v>-3400000</v>
      </c>
      <c r="K209" s="23">
        <v>-751063</v>
      </c>
      <c r="L209" s="23">
        <v>-3400000</v>
      </c>
      <c r="M209" s="24" t="s">
        <v>153</v>
      </c>
      <c r="N209" s="25">
        <v>131223</v>
      </c>
      <c r="O209" s="23" t="s">
        <v>380</v>
      </c>
    </row>
    <row r="210" spans="1:17" s="14" customFormat="1" ht="18.75">
      <c r="A210" s="12"/>
      <c r="B210" s="22">
        <f t="shared" si="26"/>
        <v>16.027863537913529</v>
      </c>
      <c r="C210" s="22">
        <f t="shared" si="27"/>
        <v>22.808672063747721</v>
      </c>
      <c r="D210" s="23">
        <v>17220000</v>
      </c>
      <c r="E210" s="23">
        <f t="shared" si="28"/>
        <v>754976</v>
      </c>
      <c r="F210" s="23">
        <f t="shared" si="29"/>
        <v>933339</v>
      </c>
      <c r="G210" s="23">
        <v>1074379</v>
      </c>
      <c r="H210" s="23">
        <f>1186212+26129</f>
        <v>1212341</v>
      </c>
      <c r="I210" s="23">
        <v>1103703</v>
      </c>
      <c r="J210" s="23">
        <v>784300</v>
      </c>
      <c r="K210" s="23">
        <v>1201923</v>
      </c>
      <c r="L210" s="23">
        <f>1094484-171563</f>
        <v>922921</v>
      </c>
      <c r="M210" s="24" t="s">
        <v>154</v>
      </c>
      <c r="N210" s="25">
        <v>131228</v>
      </c>
      <c r="O210" s="23" t="s">
        <v>381</v>
      </c>
    </row>
    <row r="211" spans="1:17" s="14" customFormat="1" ht="18.75">
      <c r="A211" s="12"/>
      <c r="B211" s="22" t="str">
        <f t="shared" si="26"/>
        <v>-</v>
      </c>
      <c r="C211" s="22" t="s">
        <v>534</v>
      </c>
      <c r="D211" s="23">
        <v>14499999.999999998</v>
      </c>
      <c r="E211" s="23" t="s">
        <v>530</v>
      </c>
      <c r="F211" s="23">
        <f t="shared" si="29"/>
        <v>-23633783</v>
      </c>
      <c r="G211" s="23">
        <v>-17053282</v>
      </c>
      <c r="H211" s="23">
        <f>-17053282</f>
        <v>-17053282</v>
      </c>
      <c r="I211" s="23" t="s">
        <v>530</v>
      </c>
      <c r="J211" s="23" t="s">
        <v>530</v>
      </c>
      <c r="K211" s="23">
        <f>-1316818+4236</f>
        <v>-1312582</v>
      </c>
      <c r="L211" s="23">
        <f>-8102403+209320</f>
        <v>-7893083</v>
      </c>
      <c r="M211" s="24" t="s">
        <v>155</v>
      </c>
      <c r="N211" s="25">
        <v>131230</v>
      </c>
      <c r="O211" s="23" t="s">
        <v>382</v>
      </c>
    </row>
    <row r="212" spans="1:17" s="14" customFormat="1" ht="18.75">
      <c r="A212" s="15"/>
      <c r="B212" s="22">
        <f t="shared" si="26"/>
        <v>62.012756909992916</v>
      </c>
      <c r="C212" s="22" t="s">
        <v>534</v>
      </c>
      <c r="D212" s="23">
        <v>525000</v>
      </c>
      <c r="E212" s="23" t="s">
        <v>530</v>
      </c>
      <c r="F212" s="23">
        <f t="shared" si="29"/>
        <v>-1735.96</v>
      </c>
      <c r="G212" s="23">
        <v>8466</v>
      </c>
      <c r="H212" s="23">
        <v>8466</v>
      </c>
      <c r="I212" s="23" t="s">
        <v>530</v>
      </c>
      <c r="J212" s="23" t="s">
        <v>530</v>
      </c>
      <c r="K212" s="23">
        <v>5443</v>
      </c>
      <c r="L212" s="23">
        <v>-4758.96</v>
      </c>
      <c r="M212" s="24" t="s">
        <v>156</v>
      </c>
      <c r="N212" s="25">
        <v>131238</v>
      </c>
      <c r="O212" s="23" t="s">
        <v>383</v>
      </c>
    </row>
    <row r="213" spans="1:17" s="14" customFormat="1" ht="18.75">
      <c r="A213" s="12"/>
      <c r="B213" s="22">
        <f t="shared" si="26"/>
        <v>55.598622567470166</v>
      </c>
      <c r="C213" s="22" t="str">
        <f t="shared" si="27"/>
        <v>-</v>
      </c>
      <c r="D213" s="23">
        <v>6942600</v>
      </c>
      <c r="E213" s="23">
        <f t="shared" si="28"/>
        <v>-79292</v>
      </c>
      <c r="F213" s="23">
        <f t="shared" si="29"/>
        <v>-67478</v>
      </c>
      <c r="G213" s="23">
        <v>124870</v>
      </c>
      <c r="H213" s="23">
        <f>128312+13098</f>
        <v>141410</v>
      </c>
      <c r="I213" s="23">
        <v>32234</v>
      </c>
      <c r="J213" s="23">
        <v>-171928</v>
      </c>
      <c r="K213" s="23">
        <v>36960</v>
      </c>
      <c r="L213" s="23">
        <v>-171928</v>
      </c>
      <c r="M213" s="24" t="s">
        <v>157</v>
      </c>
      <c r="N213" s="25">
        <v>131254</v>
      </c>
      <c r="O213" s="23" t="s">
        <v>384</v>
      </c>
    </row>
    <row r="214" spans="1:17" s="14" customFormat="1" ht="18.75">
      <c r="A214" s="12"/>
      <c r="B214" s="22">
        <f t="shared" si="26"/>
        <v>10.922905741175009</v>
      </c>
      <c r="C214" s="22">
        <f t="shared" si="27"/>
        <v>11.140761532541966</v>
      </c>
      <c r="D214" s="23">
        <v>12320000</v>
      </c>
      <c r="E214" s="23">
        <f t="shared" si="28"/>
        <v>1105849</v>
      </c>
      <c r="F214" s="23">
        <f t="shared" si="29"/>
        <v>1449044</v>
      </c>
      <c r="G214" s="23">
        <v>1127905</v>
      </c>
      <c r="H214" s="23">
        <v>1540127</v>
      </c>
      <c r="I214" s="23">
        <v>345021</v>
      </c>
      <c r="J214" s="23">
        <v>322965</v>
      </c>
      <c r="K214" s="23">
        <v>458466</v>
      </c>
      <c r="L214" s="23">
        <v>367383</v>
      </c>
      <c r="M214" s="24" t="s">
        <v>158</v>
      </c>
      <c r="N214" s="25">
        <v>131264</v>
      </c>
      <c r="O214" s="23" t="s">
        <v>500</v>
      </c>
    </row>
    <row r="215" spans="1:17" s="14" customFormat="1" ht="18.75">
      <c r="A215" s="12"/>
      <c r="B215" s="22">
        <f t="shared" si="26"/>
        <v>20.821544973779996</v>
      </c>
      <c r="C215" s="22">
        <f t="shared" si="27"/>
        <v>10.859079552827053</v>
      </c>
      <c r="D215" s="23">
        <v>82500000</v>
      </c>
      <c r="E215" s="23">
        <f t="shared" si="28"/>
        <v>7597329</v>
      </c>
      <c r="F215" s="23">
        <f t="shared" si="29"/>
        <v>9614188</v>
      </c>
      <c r="G215" s="23">
        <v>3962242</v>
      </c>
      <c r="H215" s="23">
        <f>5380322+118166</f>
        <v>5498488</v>
      </c>
      <c r="I215" s="23">
        <v>-529495</v>
      </c>
      <c r="J215" s="23">
        <v>3105592</v>
      </c>
      <c r="K215" s="23">
        <v>-529495</v>
      </c>
      <c r="L215" s="23">
        <v>3586205</v>
      </c>
      <c r="M215" s="24" t="s">
        <v>481</v>
      </c>
      <c r="N215" s="25">
        <v>131286</v>
      </c>
      <c r="O215" s="23" t="s">
        <v>482</v>
      </c>
    </row>
    <row r="216" spans="1:17" s="14" customFormat="1" ht="18.75">
      <c r="A216" s="12"/>
      <c r="B216" s="22" t="str">
        <f t="shared" si="26"/>
        <v>-</v>
      </c>
      <c r="C216" s="22" t="s">
        <v>534</v>
      </c>
      <c r="D216" s="23">
        <v>4937194.16</v>
      </c>
      <c r="E216" s="23" t="s">
        <v>530</v>
      </c>
      <c r="F216" s="23">
        <f t="shared" si="29"/>
        <v>-168117</v>
      </c>
      <c r="G216" s="23">
        <v>-540990</v>
      </c>
      <c r="H216" s="23">
        <v>-540990</v>
      </c>
      <c r="I216" s="23" t="s">
        <v>530</v>
      </c>
      <c r="J216" s="23" t="s">
        <v>530</v>
      </c>
      <c r="K216" s="23">
        <v>-422805</v>
      </c>
      <c r="L216" s="23">
        <v>-49932</v>
      </c>
      <c r="M216" s="24" t="s">
        <v>159</v>
      </c>
      <c r="N216" s="25">
        <v>141058</v>
      </c>
      <c r="O216" s="23" t="s">
        <v>385</v>
      </c>
    </row>
    <row r="217" spans="1:17" s="26" customFormat="1" ht="20.25">
      <c r="B217" s="27">
        <f t="shared" si="26"/>
        <v>422.62149765282265</v>
      </c>
      <c r="C217" s="27">
        <f t="shared" si="27"/>
        <v>102.37977909129138</v>
      </c>
      <c r="D217" s="28">
        <f>SUM(D200:D216)</f>
        <v>362991294.81999999</v>
      </c>
      <c r="E217" s="28">
        <f t="shared" si="28"/>
        <v>3545537</v>
      </c>
      <c r="F217" s="28">
        <f t="shared" si="29"/>
        <v>3217875.04</v>
      </c>
      <c r="G217" s="28">
        <f t="shared" ref="G217:L217" si="30">SUM(G200:G216)</f>
        <v>858904</v>
      </c>
      <c r="H217" s="28">
        <f t="shared" si="30"/>
        <v>5774879</v>
      </c>
      <c r="I217" s="28">
        <f t="shared" si="30"/>
        <v>193036</v>
      </c>
      <c r="J217" s="28">
        <f t="shared" si="30"/>
        <v>2879669</v>
      </c>
      <c r="K217" s="28">
        <f t="shared" si="30"/>
        <v>3303380</v>
      </c>
      <c r="L217" s="28">
        <f t="shared" si="30"/>
        <v>746376.04</v>
      </c>
      <c r="M217" s="29" t="s">
        <v>549</v>
      </c>
      <c r="N217" s="30"/>
      <c r="O217" s="28"/>
      <c r="P217" s="38"/>
      <c r="Q217" s="38"/>
    </row>
    <row r="218" spans="1:17" s="26" customFormat="1" ht="20.25">
      <c r="B218" s="27">
        <f t="shared" si="26"/>
        <v>17.132756944651039</v>
      </c>
      <c r="C218" s="27">
        <f t="shared" si="27"/>
        <v>18.835021082018294</v>
      </c>
      <c r="D218" s="28">
        <f>D217+D198+D190+D185+D180+D163+D147+D139</f>
        <v>3676506799.54</v>
      </c>
      <c r="E218" s="28">
        <f t="shared" si="28"/>
        <v>195195258</v>
      </c>
      <c r="F218" s="28">
        <f t="shared" si="29"/>
        <v>248462283.03999999</v>
      </c>
      <c r="G218" s="28">
        <f t="shared" ref="G218:L218" si="31">G217+G198+G190+G185+G180+G163+G147+G139</f>
        <v>214589328</v>
      </c>
      <c r="H218" s="28">
        <f t="shared" si="31"/>
        <v>292596188</v>
      </c>
      <c r="I218" s="28">
        <f t="shared" si="31"/>
        <v>117186994</v>
      </c>
      <c r="J218" s="28">
        <f t="shared" si="31"/>
        <v>97792924</v>
      </c>
      <c r="K218" s="28">
        <f t="shared" si="31"/>
        <v>155027617</v>
      </c>
      <c r="L218" s="28">
        <f t="shared" si="31"/>
        <v>110893712.03999999</v>
      </c>
      <c r="M218" s="29" t="s">
        <v>550</v>
      </c>
      <c r="N218" s="30"/>
      <c r="O218" s="28"/>
      <c r="P218" s="38"/>
      <c r="Q218" s="38"/>
    </row>
    <row r="219" spans="1:17" s="15" customFormat="1" ht="20.25">
      <c r="A219" s="12"/>
      <c r="B219" s="31"/>
      <c r="C219" s="31"/>
      <c r="D219" s="32"/>
      <c r="E219" s="32"/>
      <c r="F219" s="32"/>
      <c r="G219" s="32"/>
      <c r="H219" s="32"/>
      <c r="I219" s="32"/>
      <c r="J219" s="32"/>
      <c r="K219" s="32"/>
      <c r="L219" s="32"/>
      <c r="M219" s="33"/>
      <c r="N219" s="34"/>
      <c r="O219" s="32"/>
    </row>
    <row r="220" spans="1:17" s="14" customFormat="1" ht="18.75">
      <c r="A220" s="12"/>
      <c r="B220" s="22">
        <f t="shared" si="26"/>
        <v>12.339546816158357</v>
      </c>
      <c r="C220" s="22">
        <f t="shared" si="27"/>
        <v>5.7792226005515381</v>
      </c>
      <c r="D220" s="23">
        <v>75000000</v>
      </c>
      <c r="E220" s="23">
        <f t="shared" si="28"/>
        <v>12977524</v>
      </c>
      <c r="F220" s="23">
        <f t="shared" si="29"/>
        <v>13531135</v>
      </c>
      <c r="G220" s="23">
        <v>6078019</v>
      </c>
      <c r="H220" s="23">
        <f>6294410+240675+16941</f>
        <v>6552026</v>
      </c>
      <c r="I220" s="23">
        <v>2920060</v>
      </c>
      <c r="J220" s="23">
        <v>9819565</v>
      </c>
      <c r="K220" s="23">
        <f>3000088+19972</f>
        <v>3020060</v>
      </c>
      <c r="L220" s="23">
        <f>9972567+26602</f>
        <v>9999169</v>
      </c>
      <c r="M220" s="24" t="s">
        <v>160</v>
      </c>
      <c r="N220" s="25">
        <v>141012</v>
      </c>
      <c r="O220" s="23" t="s">
        <v>386</v>
      </c>
    </row>
    <row r="221" spans="1:17" s="14" customFormat="1" ht="18.75">
      <c r="A221" s="12"/>
      <c r="B221" s="22">
        <f t="shared" si="26"/>
        <v>45.338949867486612</v>
      </c>
      <c r="C221" s="22">
        <f t="shared" si="27"/>
        <v>83.855524554422232</v>
      </c>
      <c r="D221" s="23">
        <v>11000000</v>
      </c>
      <c r="E221" s="23">
        <f t="shared" si="28"/>
        <v>131178</v>
      </c>
      <c r="F221" s="23">
        <f t="shared" si="29"/>
        <v>171420</v>
      </c>
      <c r="G221" s="23">
        <v>242617</v>
      </c>
      <c r="H221" s="23">
        <v>296224</v>
      </c>
      <c r="I221" s="23">
        <v>177492</v>
      </c>
      <c r="J221" s="23">
        <v>66053</v>
      </c>
      <c r="K221" s="23">
        <v>190857</v>
      </c>
      <c r="L221" s="23">
        <v>66053</v>
      </c>
      <c r="M221" s="24" t="s">
        <v>161</v>
      </c>
      <c r="N221" s="25">
        <v>141023</v>
      </c>
      <c r="O221" s="23" t="s">
        <v>387</v>
      </c>
    </row>
    <row r="222" spans="1:17" s="14" customFormat="1" ht="18.75">
      <c r="A222" s="12"/>
      <c r="B222" s="22">
        <f t="shared" si="26"/>
        <v>57.14077754444677</v>
      </c>
      <c r="C222" s="22" t="s">
        <v>534</v>
      </c>
      <c r="D222" s="23">
        <v>34148757.18</v>
      </c>
      <c r="E222" s="23" t="s">
        <v>530</v>
      </c>
      <c r="F222" s="23">
        <f t="shared" si="29"/>
        <v>1152390</v>
      </c>
      <c r="G222" s="23">
        <v>597625</v>
      </c>
      <c r="H222" s="23">
        <v>597625</v>
      </c>
      <c r="I222" s="23" t="s">
        <v>530</v>
      </c>
      <c r="J222" s="23" t="s">
        <v>530</v>
      </c>
      <c r="K222" s="23">
        <v>149150</v>
      </c>
      <c r="L222" s="23">
        <v>703915</v>
      </c>
      <c r="M222" s="24" t="s">
        <v>162</v>
      </c>
      <c r="N222" s="25">
        <v>141073</v>
      </c>
      <c r="O222" s="23" t="s">
        <v>388</v>
      </c>
    </row>
    <row r="223" spans="1:17" s="14" customFormat="1" ht="18.75" hidden="1">
      <c r="A223" s="12"/>
      <c r="B223" s="22" t="str">
        <f t="shared" si="26"/>
        <v>-</v>
      </c>
      <c r="C223" s="22" t="str">
        <f t="shared" si="27"/>
        <v>-</v>
      </c>
      <c r="D223" s="23"/>
      <c r="E223" s="23">
        <f t="shared" si="28"/>
        <v>0</v>
      </c>
      <c r="F223" s="23">
        <f t="shared" si="29"/>
        <v>0</v>
      </c>
      <c r="G223" s="23"/>
      <c r="H223" s="23"/>
      <c r="I223" s="23"/>
      <c r="J223" s="23"/>
      <c r="K223" s="23"/>
      <c r="L223" s="23"/>
      <c r="M223" s="24" t="s">
        <v>163</v>
      </c>
      <c r="N223" s="25">
        <v>141202</v>
      </c>
      <c r="O223" s="23"/>
    </row>
    <row r="224" spans="1:17" s="14" customFormat="1" ht="18.75">
      <c r="A224" s="12"/>
      <c r="B224" s="22">
        <f t="shared" si="26"/>
        <v>10.347734266152461</v>
      </c>
      <c r="C224" s="22" t="s">
        <v>534</v>
      </c>
      <c r="D224" s="23">
        <v>30800000</v>
      </c>
      <c r="E224" s="23" t="s">
        <v>530</v>
      </c>
      <c r="F224" s="23">
        <f t="shared" si="29"/>
        <v>-1690455</v>
      </c>
      <c r="G224" s="23">
        <v>2976497</v>
      </c>
      <c r="H224" s="23">
        <f>3038698+136336</f>
        <v>3175034</v>
      </c>
      <c r="I224" s="23" t="s">
        <v>530</v>
      </c>
      <c r="J224" s="23" t="s">
        <v>530</v>
      </c>
      <c r="K224" s="23">
        <v>2935864</v>
      </c>
      <c r="L224" s="23">
        <v>-1929625</v>
      </c>
      <c r="M224" s="24" t="s">
        <v>164</v>
      </c>
      <c r="N224" s="25">
        <v>141204</v>
      </c>
      <c r="O224" s="23" t="s">
        <v>389</v>
      </c>
    </row>
    <row r="225" spans="1:19" ht="18.75">
      <c r="B225" s="22">
        <f t="shared" si="26"/>
        <v>17.429385065769008</v>
      </c>
      <c r="C225" s="22">
        <f t="shared" si="27"/>
        <v>16.578274493736675</v>
      </c>
      <c r="D225" s="23">
        <v>8740000</v>
      </c>
      <c r="E225" s="23">
        <f t="shared" si="28"/>
        <v>527196</v>
      </c>
      <c r="F225" s="23">
        <f t="shared" si="29"/>
        <v>634309</v>
      </c>
      <c r="G225" s="23">
        <v>501452</v>
      </c>
      <c r="H225" s="23">
        <v>597836</v>
      </c>
      <c r="I225" s="23">
        <v>277755</v>
      </c>
      <c r="J225" s="23">
        <v>303499</v>
      </c>
      <c r="K225" s="23">
        <v>293123</v>
      </c>
      <c r="L225" s="23">
        <v>329596</v>
      </c>
      <c r="M225" s="24" t="s">
        <v>165</v>
      </c>
      <c r="N225" s="25">
        <v>141210</v>
      </c>
      <c r="O225" s="23" t="s">
        <v>390</v>
      </c>
      <c r="Q225" s="14"/>
      <c r="R225" s="14"/>
      <c r="S225" s="14"/>
    </row>
    <row r="226" spans="1:19" ht="18.75">
      <c r="B226" s="22" t="str">
        <f t="shared" si="26"/>
        <v>-</v>
      </c>
      <c r="C226" s="22" t="s">
        <v>534</v>
      </c>
      <c r="D226" s="23">
        <v>4580000</v>
      </c>
      <c r="E226" s="23" t="s">
        <v>530</v>
      </c>
      <c r="F226" s="23">
        <f t="shared" si="29"/>
        <v>-191818</v>
      </c>
      <c r="G226" s="23">
        <f>+H226</f>
        <v>-194448</v>
      </c>
      <c r="H226" s="23">
        <v>-194448</v>
      </c>
      <c r="I226" s="23" t="s">
        <v>530</v>
      </c>
      <c r="J226" s="23" t="s">
        <v>530</v>
      </c>
      <c r="K226" s="23">
        <v>-92883</v>
      </c>
      <c r="L226" s="23">
        <v>-90253</v>
      </c>
      <c r="M226" s="24" t="s">
        <v>493</v>
      </c>
      <c r="N226" s="25"/>
      <c r="O226" s="23" t="s">
        <v>536</v>
      </c>
      <c r="Q226" s="14"/>
      <c r="R226" s="14"/>
      <c r="S226" s="14"/>
    </row>
    <row r="227" spans="1:19" s="26" customFormat="1" ht="20.25">
      <c r="B227" s="27">
        <f t="shared" si="26"/>
        <v>16.101998574363918</v>
      </c>
      <c r="C227" s="27">
        <f t="shared" si="27"/>
        <v>9.6540249825277691</v>
      </c>
      <c r="D227" s="28">
        <f>SUM(D220:D226)</f>
        <v>164268757.18000001</v>
      </c>
      <c r="E227" s="28">
        <f t="shared" si="28"/>
        <v>17015572</v>
      </c>
      <c r="F227" s="28">
        <f t="shared" si="29"/>
        <v>13606981</v>
      </c>
      <c r="G227" s="28">
        <f t="shared" ref="G227:L227" si="32">SUM(G220:G226)</f>
        <v>10201762</v>
      </c>
      <c r="H227" s="28">
        <f t="shared" si="32"/>
        <v>11024297</v>
      </c>
      <c r="I227" s="28">
        <f t="shared" si="32"/>
        <v>3375307</v>
      </c>
      <c r="J227" s="28">
        <f t="shared" si="32"/>
        <v>10189117</v>
      </c>
      <c r="K227" s="28">
        <f t="shared" si="32"/>
        <v>6496171</v>
      </c>
      <c r="L227" s="28">
        <f t="shared" si="32"/>
        <v>9078855</v>
      </c>
      <c r="M227" s="29" t="s">
        <v>551</v>
      </c>
      <c r="N227" s="30"/>
      <c r="O227" s="28"/>
      <c r="P227" s="38"/>
      <c r="Q227" s="38"/>
    </row>
    <row r="228" spans="1:19" s="15" customFormat="1" ht="20.25">
      <c r="A228" s="12"/>
      <c r="B228" s="31"/>
      <c r="C228" s="31"/>
      <c r="D228" s="32"/>
      <c r="E228" s="32"/>
      <c r="F228" s="32"/>
      <c r="G228" s="32"/>
      <c r="H228" s="32"/>
      <c r="I228" s="32"/>
      <c r="J228" s="32"/>
      <c r="K228" s="32"/>
      <c r="L228" s="32"/>
      <c r="M228" s="33"/>
      <c r="N228" s="34"/>
      <c r="O228" s="32"/>
    </row>
    <row r="229" spans="1:19" ht="18.75">
      <c r="B229" s="22" t="str">
        <f t="shared" si="26"/>
        <v>-</v>
      </c>
      <c r="C229" s="22" t="s">
        <v>534</v>
      </c>
      <c r="D229" s="23">
        <v>14600000</v>
      </c>
      <c r="E229" s="23" t="s">
        <v>530</v>
      </c>
      <c r="F229" s="23">
        <f t="shared" si="29"/>
        <v>71531</v>
      </c>
      <c r="G229" s="23">
        <v>-1024150</v>
      </c>
      <c r="H229" s="23">
        <v>-1024150</v>
      </c>
      <c r="I229" s="23" t="s">
        <v>530</v>
      </c>
      <c r="J229" s="23" t="s">
        <v>530</v>
      </c>
      <c r="K229" s="23">
        <v>-764356</v>
      </c>
      <c r="L229" s="23">
        <v>331325</v>
      </c>
      <c r="M229" s="24" t="s">
        <v>166</v>
      </c>
      <c r="N229" s="25">
        <v>141009</v>
      </c>
      <c r="O229" s="23" t="s">
        <v>391</v>
      </c>
      <c r="Q229" s="14"/>
      <c r="R229" s="14"/>
      <c r="S229" s="14"/>
    </row>
    <row r="230" spans="1:19" ht="18.75">
      <c r="B230" s="22" t="str">
        <f t="shared" si="26"/>
        <v>-</v>
      </c>
      <c r="C230" s="22" t="s">
        <v>534</v>
      </c>
      <c r="D230" s="23">
        <v>3684122.16</v>
      </c>
      <c r="E230" s="23" t="s">
        <v>530</v>
      </c>
      <c r="F230" s="23">
        <f t="shared" si="29"/>
        <v>-584796</v>
      </c>
      <c r="G230" s="23">
        <f>+H230</f>
        <v>-327968</v>
      </c>
      <c r="H230" s="23">
        <v>-327968</v>
      </c>
      <c r="I230" s="23" t="s">
        <v>530</v>
      </c>
      <c r="J230" s="23" t="s">
        <v>530</v>
      </c>
      <c r="K230" s="23">
        <v>45178</v>
      </c>
      <c r="L230" s="23">
        <v>-211650</v>
      </c>
      <c r="M230" s="24" t="s">
        <v>167</v>
      </c>
      <c r="N230" s="25">
        <v>141010</v>
      </c>
      <c r="O230" s="23" t="s">
        <v>392</v>
      </c>
      <c r="Q230" s="14"/>
      <c r="R230" s="14"/>
      <c r="S230" s="14"/>
    </row>
    <row r="231" spans="1:19" ht="18.75">
      <c r="A231" s="15"/>
      <c r="B231" s="22">
        <f t="shared" si="26"/>
        <v>8.4193916623796117</v>
      </c>
      <c r="C231" s="22">
        <f t="shared" si="27"/>
        <v>12.243010251558063</v>
      </c>
      <c r="D231" s="23">
        <v>4697018.6399999997</v>
      </c>
      <c r="E231" s="23">
        <f t="shared" si="28"/>
        <v>383649</v>
      </c>
      <c r="F231" s="23">
        <f t="shared" si="29"/>
        <v>497593</v>
      </c>
      <c r="G231" s="23">
        <v>557881</v>
      </c>
      <c r="H231" s="23">
        <v>700769</v>
      </c>
      <c r="I231" s="23">
        <v>336177</v>
      </c>
      <c r="J231" s="23">
        <v>161945</v>
      </c>
      <c r="K231" s="23">
        <v>387697</v>
      </c>
      <c r="L231" s="23">
        <v>184521</v>
      </c>
      <c r="M231" s="24" t="s">
        <v>168</v>
      </c>
      <c r="N231" s="25">
        <v>141026</v>
      </c>
      <c r="O231" s="23" t="s">
        <v>393</v>
      </c>
      <c r="Q231" s="14"/>
      <c r="R231" s="14"/>
      <c r="S231" s="14"/>
    </row>
    <row r="232" spans="1:19" ht="18.75">
      <c r="A232" s="12">
        <v>0</v>
      </c>
      <c r="B232" s="22" t="str">
        <f t="shared" si="26"/>
        <v>-</v>
      </c>
      <c r="C232" s="22" t="str">
        <f t="shared" si="27"/>
        <v>-</v>
      </c>
      <c r="D232" s="23">
        <v>1860000</v>
      </c>
      <c r="E232" s="23">
        <f t="shared" si="28"/>
        <v>-194054</v>
      </c>
      <c r="F232" s="23">
        <f t="shared" si="29"/>
        <v>-194054</v>
      </c>
      <c r="G232" s="23">
        <v>-197141</v>
      </c>
      <c r="H232" s="23">
        <v>-197141</v>
      </c>
      <c r="I232" s="23">
        <v>-141764</v>
      </c>
      <c r="J232" s="23">
        <v>-138677</v>
      </c>
      <c r="K232" s="23">
        <v>-141764</v>
      </c>
      <c r="L232" s="23">
        <v>-138677</v>
      </c>
      <c r="M232" s="24" t="s">
        <v>169</v>
      </c>
      <c r="N232" s="25">
        <v>141027</v>
      </c>
      <c r="O232" s="23" t="s">
        <v>394</v>
      </c>
      <c r="Q232" s="14"/>
      <c r="R232" s="14"/>
      <c r="S232" s="14"/>
    </row>
    <row r="233" spans="1:19" ht="18.75">
      <c r="B233" s="22" t="str">
        <f t="shared" si="26"/>
        <v>-</v>
      </c>
      <c r="C233" s="22" t="s">
        <v>534</v>
      </c>
      <c r="D233" s="23">
        <v>1638000</v>
      </c>
      <c r="E233" s="23" t="s">
        <v>530</v>
      </c>
      <c r="F233" s="23">
        <f t="shared" si="29"/>
        <v>-57337</v>
      </c>
      <c r="G233" s="23">
        <v>-69145</v>
      </c>
      <c r="H233" s="23">
        <v>-69145</v>
      </c>
      <c r="I233" s="23" t="s">
        <v>530</v>
      </c>
      <c r="J233" s="23" t="s">
        <v>530</v>
      </c>
      <c r="K233" s="23">
        <v>-35970</v>
      </c>
      <c r="L233" s="23">
        <v>-24162</v>
      </c>
      <c r="M233" s="24" t="s">
        <v>170</v>
      </c>
      <c r="N233" s="25">
        <v>141032</v>
      </c>
      <c r="O233" s="23" t="s">
        <v>395</v>
      </c>
      <c r="Q233" s="14"/>
      <c r="R233" s="14"/>
      <c r="S233" s="14"/>
    </row>
    <row r="234" spans="1:19" ht="18.75">
      <c r="B234" s="22" t="str">
        <f t="shared" si="26"/>
        <v>-</v>
      </c>
      <c r="C234" s="22" t="s">
        <v>534</v>
      </c>
      <c r="D234" s="23">
        <v>19850000</v>
      </c>
      <c r="E234" s="23" t="s">
        <v>530</v>
      </c>
      <c r="F234" s="23">
        <f t="shared" si="29"/>
        <v>79172</v>
      </c>
      <c r="G234" s="23">
        <v>-78573</v>
      </c>
      <c r="H234" s="23">
        <v>-78573</v>
      </c>
      <c r="I234" s="23" t="s">
        <v>530</v>
      </c>
      <c r="J234" s="23" t="s">
        <v>530</v>
      </c>
      <c r="K234" s="23">
        <v>-92219</v>
      </c>
      <c r="L234" s="23">
        <v>65526</v>
      </c>
      <c r="M234" s="24" t="s">
        <v>171</v>
      </c>
      <c r="N234" s="25">
        <v>141040</v>
      </c>
      <c r="O234" s="23" t="s">
        <v>396</v>
      </c>
      <c r="Q234" s="14"/>
      <c r="R234" s="14"/>
      <c r="S234" s="14"/>
    </row>
    <row r="235" spans="1:19" ht="18.75">
      <c r="A235" s="15"/>
      <c r="B235" s="22">
        <f t="shared" si="26"/>
        <v>33.012660525479873</v>
      </c>
      <c r="C235" s="22">
        <f t="shared" si="27"/>
        <v>34.114088766969118</v>
      </c>
      <c r="D235" s="23">
        <v>8730000</v>
      </c>
      <c r="E235" s="23">
        <f t="shared" si="28"/>
        <v>255906</v>
      </c>
      <c r="F235" s="23">
        <f t="shared" si="29"/>
        <v>324021</v>
      </c>
      <c r="G235" s="23">
        <v>264444</v>
      </c>
      <c r="H235" s="23">
        <f>282759+44599</f>
        <v>327358</v>
      </c>
      <c r="I235" s="23">
        <v>10597</v>
      </c>
      <c r="J235" s="23">
        <v>2059</v>
      </c>
      <c r="K235" s="23">
        <v>10597</v>
      </c>
      <c r="L235" s="23">
        <v>7260</v>
      </c>
      <c r="M235" s="24" t="s">
        <v>172</v>
      </c>
      <c r="N235" s="25">
        <v>141054</v>
      </c>
      <c r="O235" s="23" t="s">
        <v>397</v>
      </c>
      <c r="Q235" s="14"/>
      <c r="R235" s="14"/>
      <c r="S235" s="14"/>
    </row>
    <row r="236" spans="1:19" ht="18.75">
      <c r="B236" s="22">
        <f t="shared" si="26"/>
        <v>9.6981300255272291</v>
      </c>
      <c r="C236" s="22" t="s">
        <v>534</v>
      </c>
      <c r="D236" s="23">
        <v>8312500</v>
      </c>
      <c r="E236" s="23" t="s">
        <v>530</v>
      </c>
      <c r="F236" s="23">
        <f t="shared" si="29"/>
        <v>1081375</v>
      </c>
      <c r="G236" s="23">
        <v>857124</v>
      </c>
      <c r="H236" s="23">
        <v>896812</v>
      </c>
      <c r="I236" s="23" t="s">
        <v>530</v>
      </c>
      <c r="J236" s="23" t="s">
        <v>530</v>
      </c>
      <c r="K236" s="23">
        <v>417392</v>
      </c>
      <c r="L236" s="23">
        <v>601955</v>
      </c>
      <c r="M236" s="24" t="s">
        <v>173</v>
      </c>
      <c r="N236" s="25">
        <v>141055</v>
      </c>
      <c r="O236" s="23" t="s">
        <v>398</v>
      </c>
      <c r="Q236" s="14"/>
      <c r="R236" s="14"/>
      <c r="S236" s="14"/>
    </row>
    <row r="237" spans="1:19" ht="18.75">
      <c r="B237" s="22">
        <f t="shared" si="26"/>
        <v>16.452592710235844</v>
      </c>
      <c r="C237" s="22">
        <f t="shared" si="27"/>
        <v>10.052369357103219</v>
      </c>
      <c r="D237" s="23">
        <v>3315000</v>
      </c>
      <c r="E237" s="23">
        <f t="shared" si="28"/>
        <v>329773</v>
      </c>
      <c r="F237" s="23">
        <f t="shared" si="29"/>
        <v>372508</v>
      </c>
      <c r="G237" s="23">
        <v>201488</v>
      </c>
      <c r="H237" s="23">
        <v>234301</v>
      </c>
      <c r="I237" s="23">
        <v>-122669</v>
      </c>
      <c r="J237" s="23">
        <v>5616</v>
      </c>
      <c r="K237" s="23">
        <v>-122669</v>
      </c>
      <c r="L237" s="23">
        <v>15538</v>
      </c>
      <c r="M237" s="24" t="s">
        <v>174</v>
      </c>
      <c r="N237" s="25">
        <v>141086</v>
      </c>
      <c r="O237" s="23" t="s">
        <v>399</v>
      </c>
      <c r="Q237" s="14"/>
      <c r="R237" s="14"/>
      <c r="S237" s="14"/>
    </row>
    <row r="238" spans="1:19" ht="18.75">
      <c r="B238" s="22">
        <f t="shared" si="26"/>
        <v>10.481392561770999</v>
      </c>
      <c r="C238" s="22">
        <f t="shared" si="27"/>
        <v>9.5564198405700669</v>
      </c>
      <c r="D238" s="23">
        <v>15900000</v>
      </c>
      <c r="E238" s="23">
        <f t="shared" si="28"/>
        <v>1663803</v>
      </c>
      <c r="F238" s="23">
        <f t="shared" si="29"/>
        <v>1876371</v>
      </c>
      <c r="G238" s="23">
        <f>+H238-126942-81506</f>
        <v>1516974</v>
      </c>
      <c r="H238" s="23">
        <f>1796274+81506-152358</f>
        <v>1725422</v>
      </c>
      <c r="I238" s="23">
        <v>1139687</v>
      </c>
      <c r="J238" s="23">
        <v>1286516</v>
      </c>
      <c r="K238" s="23">
        <f>1193503-0</f>
        <v>1193503</v>
      </c>
      <c r="L238" s="23">
        <f>1431848-87396</f>
        <v>1344452</v>
      </c>
      <c r="M238" s="24" t="s">
        <v>175</v>
      </c>
      <c r="N238" s="25">
        <v>141209</v>
      </c>
      <c r="O238" s="23" t="s">
        <v>400</v>
      </c>
      <c r="Q238" s="14"/>
      <c r="R238" s="14"/>
      <c r="S238" s="14"/>
    </row>
    <row r="239" spans="1:19" ht="18.75">
      <c r="B239" s="22">
        <f t="shared" si="26"/>
        <v>13.406109355549171</v>
      </c>
      <c r="C239" s="22" t="s">
        <v>534</v>
      </c>
      <c r="D239" s="23">
        <v>4620000</v>
      </c>
      <c r="E239" s="23" t="s">
        <v>530</v>
      </c>
      <c r="F239" s="23">
        <f t="shared" si="29"/>
        <v>361019</v>
      </c>
      <c r="G239" s="23">
        <v>344619</v>
      </c>
      <c r="H239" s="23">
        <v>311464</v>
      </c>
      <c r="I239" s="23" t="s">
        <v>530</v>
      </c>
      <c r="J239" s="23" t="s">
        <v>530</v>
      </c>
      <c r="K239" s="23">
        <v>6526</v>
      </c>
      <c r="L239" s="23">
        <v>56081</v>
      </c>
      <c r="M239" s="24" t="s">
        <v>572</v>
      </c>
      <c r="N239" s="25">
        <v>141217</v>
      </c>
      <c r="O239" s="23" t="s">
        <v>484</v>
      </c>
      <c r="Q239" s="14"/>
      <c r="R239" s="14"/>
      <c r="S239" s="14"/>
    </row>
    <row r="240" spans="1:19" s="26" customFormat="1" ht="20.25">
      <c r="B240" s="27">
        <f t="shared" si="26"/>
        <v>42.632305689463927</v>
      </c>
      <c r="C240" s="27">
        <f t="shared" si="27"/>
        <v>35.753951515265811</v>
      </c>
      <c r="D240" s="28">
        <f t="shared" ref="D240:K240" si="33">SUM(D229:D239)</f>
        <v>87206640.799999997</v>
      </c>
      <c r="E240" s="28">
        <f t="shared" si="33"/>
        <v>2439077</v>
      </c>
      <c r="F240" s="28">
        <f t="shared" si="33"/>
        <v>3827403</v>
      </c>
      <c r="G240" s="28">
        <f t="shared" si="33"/>
        <v>2045553</v>
      </c>
      <c r="H240" s="28">
        <f t="shared" si="33"/>
        <v>2499149</v>
      </c>
      <c r="I240" s="28">
        <f t="shared" si="33"/>
        <v>1222028</v>
      </c>
      <c r="J240" s="28">
        <f t="shared" si="33"/>
        <v>1317459</v>
      </c>
      <c r="K240" s="28">
        <f t="shared" si="33"/>
        <v>903915</v>
      </c>
      <c r="L240" s="28">
        <f>SUM(L229:L239)</f>
        <v>2232169</v>
      </c>
      <c r="M240" s="29" t="s">
        <v>552</v>
      </c>
      <c r="N240" s="30"/>
      <c r="O240" s="28"/>
      <c r="P240" s="38"/>
      <c r="Q240" s="38"/>
    </row>
    <row r="241" spans="1:19" s="15" customFormat="1" ht="20.25">
      <c r="A241" s="12"/>
      <c r="B241" s="31"/>
      <c r="C241" s="31"/>
      <c r="D241" s="32"/>
      <c r="E241" s="32"/>
      <c r="F241" s="32"/>
      <c r="G241" s="32"/>
      <c r="H241" s="32"/>
      <c r="I241" s="32"/>
      <c r="J241" s="32"/>
      <c r="K241" s="32"/>
      <c r="L241" s="32"/>
      <c r="M241" s="33"/>
      <c r="N241" s="34"/>
      <c r="O241" s="32"/>
    </row>
    <row r="242" spans="1:19" ht="18.75" hidden="1">
      <c r="B242" s="22" t="str">
        <f t="shared" si="26"/>
        <v>-</v>
      </c>
      <c r="C242" s="22" t="str">
        <f t="shared" si="27"/>
        <v>-</v>
      </c>
      <c r="D242" s="23">
        <v>5600000.0000000009</v>
      </c>
      <c r="E242" s="23">
        <f t="shared" si="28"/>
        <v>-2079463</v>
      </c>
      <c r="F242" s="23">
        <f t="shared" si="29"/>
        <v>-2079463</v>
      </c>
      <c r="G242" s="23">
        <f>+H242</f>
        <v>-2079463</v>
      </c>
      <c r="H242" s="23">
        <f>-2136926+57463</f>
        <v>-2079463</v>
      </c>
      <c r="I242" s="23"/>
      <c r="J242" s="23"/>
      <c r="K242" s="23"/>
      <c r="L242" s="23"/>
      <c r="M242" s="24" t="s">
        <v>176</v>
      </c>
      <c r="N242" s="25">
        <v>141003</v>
      </c>
      <c r="O242" s="23" t="s">
        <v>401</v>
      </c>
      <c r="Q242" s="14"/>
      <c r="R242" s="14"/>
      <c r="S242" s="14"/>
    </row>
    <row r="243" spans="1:19" ht="18.75">
      <c r="B243" s="22" t="str">
        <f t="shared" si="26"/>
        <v>-</v>
      </c>
      <c r="C243" s="22" t="str">
        <f t="shared" si="27"/>
        <v>-</v>
      </c>
      <c r="D243" s="23">
        <v>5250000</v>
      </c>
      <c r="E243" s="23">
        <f t="shared" si="28"/>
        <v>-643531</v>
      </c>
      <c r="F243" s="23">
        <f t="shared" si="29"/>
        <v>-653790</v>
      </c>
      <c r="G243" s="23">
        <v>-707600</v>
      </c>
      <c r="H243" s="23">
        <f>-708028+5455</f>
        <v>-702573</v>
      </c>
      <c r="I243" s="23">
        <v>-377772</v>
      </c>
      <c r="J243" s="23">
        <v>-313703</v>
      </c>
      <c r="K243" s="23">
        <v>-377772</v>
      </c>
      <c r="L243" s="23">
        <v>-328989</v>
      </c>
      <c r="M243" s="24" t="s">
        <v>177</v>
      </c>
      <c r="N243" s="25">
        <v>141017</v>
      </c>
      <c r="O243" s="23" t="s">
        <v>402</v>
      </c>
      <c r="Q243" s="14"/>
      <c r="R243" s="14"/>
      <c r="S243" s="14"/>
    </row>
    <row r="244" spans="1:19" ht="18.75">
      <c r="B244" s="22">
        <f t="shared" si="26"/>
        <v>100.80718401034591</v>
      </c>
      <c r="C244" s="22">
        <f t="shared" si="27"/>
        <v>89.003354865196002</v>
      </c>
      <c r="D244" s="23">
        <v>13875000</v>
      </c>
      <c r="E244" s="23">
        <f t="shared" si="28"/>
        <v>155893</v>
      </c>
      <c r="F244" s="23">
        <f t="shared" si="29"/>
        <v>175465</v>
      </c>
      <c r="G244" s="23">
        <v>137639</v>
      </c>
      <c r="H244" s="23">
        <v>151729</v>
      </c>
      <c r="I244" s="23">
        <v>46134</v>
      </c>
      <c r="J244" s="23">
        <v>64388</v>
      </c>
      <c r="K244" s="23">
        <v>51134</v>
      </c>
      <c r="L244" s="23">
        <v>74870</v>
      </c>
      <c r="M244" s="24" t="s">
        <v>178</v>
      </c>
      <c r="N244" s="25">
        <v>141081</v>
      </c>
      <c r="O244" s="23" t="s">
        <v>403</v>
      </c>
      <c r="Q244" s="14"/>
      <c r="R244" s="14"/>
      <c r="S244" s="14"/>
    </row>
    <row r="245" spans="1:19" s="26" customFormat="1" ht="20.25">
      <c r="B245" s="27" t="str">
        <f>+IF(G245&gt;0,+D245/G245,"-")</f>
        <v>-</v>
      </c>
      <c r="C245" s="27" t="str">
        <f>+IF(E245&gt;0,+D245/E245,"-")</f>
        <v>-</v>
      </c>
      <c r="D245" s="28">
        <f>SUM(D242:D244)</f>
        <v>24725000</v>
      </c>
      <c r="E245" s="28">
        <f t="shared" si="28"/>
        <v>-2567101</v>
      </c>
      <c r="F245" s="28">
        <f t="shared" si="29"/>
        <v>-2557788</v>
      </c>
      <c r="G245" s="28">
        <f t="shared" ref="G245:L245" si="34">SUM(G242:G244)</f>
        <v>-2649424</v>
      </c>
      <c r="H245" s="28">
        <f t="shared" si="34"/>
        <v>-2630307</v>
      </c>
      <c r="I245" s="28">
        <f t="shared" si="34"/>
        <v>-331638</v>
      </c>
      <c r="J245" s="28">
        <f t="shared" si="34"/>
        <v>-249315</v>
      </c>
      <c r="K245" s="28">
        <f t="shared" si="34"/>
        <v>-326638</v>
      </c>
      <c r="L245" s="28">
        <f t="shared" si="34"/>
        <v>-254119</v>
      </c>
      <c r="M245" s="29" t="s">
        <v>553</v>
      </c>
      <c r="N245" s="30"/>
      <c r="O245" s="28"/>
      <c r="P245" s="38"/>
      <c r="Q245" s="38"/>
    </row>
    <row r="246" spans="1:19" s="15" customFormat="1" ht="20.25">
      <c r="A246" s="12"/>
      <c r="B246" s="31"/>
      <c r="C246" s="31"/>
      <c r="D246" s="32"/>
      <c r="E246" s="32"/>
      <c r="F246" s="32"/>
      <c r="G246" s="32"/>
      <c r="H246" s="32"/>
      <c r="I246" s="32"/>
      <c r="J246" s="32"/>
      <c r="K246" s="32"/>
      <c r="L246" s="32"/>
      <c r="M246" s="33"/>
      <c r="N246" s="34"/>
      <c r="O246" s="32"/>
    </row>
    <row r="247" spans="1:19" ht="18.75">
      <c r="B247" s="22" t="str">
        <f t="shared" si="26"/>
        <v>-</v>
      </c>
      <c r="C247" s="22">
        <f t="shared" si="27"/>
        <v>33.200301569405923</v>
      </c>
      <c r="D247" s="23">
        <v>4800000</v>
      </c>
      <c r="E247" s="23">
        <f t="shared" si="28"/>
        <v>144577</v>
      </c>
      <c r="F247" s="23">
        <f t="shared" si="29"/>
        <v>156929</v>
      </c>
      <c r="G247" s="23">
        <v>-98731</v>
      </c>
      <c r="H247" s="23">
        <f>-98731+1516+39</f>
        <v>-97176</v>
      </c>
      <c r="I247" s="23">
        <v>-72046</v>
      </c>
      <c r="J247" s="23">
        <v>171262</v>
      </c>
      <c r="K247" s="23">
        <v>-72046</v>
      </c>
      <c r="L247" s="23">
        <v>182059</v>
      </c>
      <c r="M247" s="24" t="s">
        <v>179</v>
      </c>
      <c r="N247" s="25">
        <v>141100</v>
      </c>
      <c r="O247" s="23" t="s">
        <v>404</v>
      </c>
      <c r="Q247" s="14"/>
      <c r="R247" s="14"/>
      <c r="S247" s="14"/>
    </row>
    <row r="248" spans="1:19" ht="18.75">
      <c r="B248" s="22">
        <f t="shared" si="26"/>
        <v>8.1577258318185617</v>
      </c>
      <c r="C248" s="22">
        <f t="shared" si="27"/>
        <v>7.8411519193750641</v>
      </c>
      <c r="D248" s="23">
        <v>6660000.0000000009</v>
      </c>
      <c r="E248" s="23">
        <f t="shared" si="28"/>
        <v>849365</v>
      </c>
      <c r="F248" s="23">
        <f t="shared" si="29"/>
        <v>951587</v>
      </c>
      <c r="G248" s="23">
        <v>816404</v>
      </c>
      <c r="H248" s="23">
        <v>921463</v>
      </c>
      <c r="I248" s="23">
        <v>447716</v>
      </c>
      <c r="J248" s="23">
        <v>480677</v>
      </c>
      <c r="K248" s="23">
        <v>509839</v>
      </c>
      <c r="L248" s="23">
        <v>539963</v>
      </c>
      <c r="M248" s="24" t="s">
        <v>180</v>
      </c>
      <c r="N248" s="25">
        <v>141110</v>
      </c>
      <c r="O248" s="23" t="s">
        <v>405</v>
      </c>
      <c r="Q248" s="14"/>
      <c r="R248" s="14"/>
      <c r="S248" s="14"/>
    </row>
    <row r="249" spans="1:19" s="26" customFormat="1" ht="20.25">
      <c r="B249" s="27">
        <f t="shared" si="26"/>
        <v>15.968275245132533</v>
      </c>
      <c r="C249" s="27">
        <f t="shared" si="27"/>
        <v>11.52984781808194</v>
      </c>
      <c r="D249" s="28">
        <f>SUM(D247:D248)</f>
        <v>11460000</v>
      </c>
      <c r="E249" s="28">
        <f t="shared" si="28"/>
        <v>993942</v>
      </c>
      <c r="F249" s="28">
        <f t="shared" si="29"/>
        <v>1108516</v>
      </c>
      <c r="G249" s="28">
        <f t="shared" ref="G249:L249" si="35">SUM(G247:G248)</f>
        <v>717673</v>
      </c>
      <c r="H249" s="28">
        <f t="shared" si="35"/>
        <v>824287</v>
      </c>
      <c r="I249" s="28">
        <f t="shared" si="35"/>
        <v>375670</v>
      </c>
      <c r="J249" s="28">
        <f t="shared" si="35"/>
        <v>651939</v>
      </c>
      <c r="K249" s="28">
        <f t="shared" si="35"/>
        <v>437793</v>
      </c>
      <c r="L249" s="28">
        <f t="shared" si="35"/>
        <v>722022</v>
      </c>
      <c r="M249" s="29" t="s">
        <v>554</v>
      </c>
      <c r="N249" s="30"/>
      <c r="O249" s="28"/>
      <c r="P249" s="38"/>
      <c r="Q249" s="38"/>
    </row>
    <row r="250" spans="1:19" s="15" customFormat="1" ht="20.25">
      <c r="A250" s="12"/>
      <c r="B250" s="31"/>
      <c r="C250" s="31"/>
      <c r="D250" s="32"/>
      <c r="E250" s="32"/>
      <c r="F250" s="32"/>
      <c r="G250" s="32"/>
      <c r="H250" s="32"/>
      <c r="I250" s="32"/>
      <c r="J250" s="32"/>
      <c r="K250" s="32"/>
      <c r="L250" s="32"/>
      <c r="M250" s="33"/>
      <c r="N250" s="34"/>
      <c r="O250" s="32"/>
    </row>
    <row r="251" spans="1:19" ht="18.75">
      <c r="B251" s="22" t="str">
        <f t="shared" si="26"/>
        <v>-</v>
      </c>
      <c r="C251" s="22" t="s">
        <v>534</v>
      </c>
      <c r="D251" s="23">
        <v>1075200</v>
      </c>
      <c r="E251" s="23" t="s">
        <v>530</v>
      </c>
      <c r="F251" s="23">
        <f t="shared" si="29"/>
        <v>108862</v>
      </c>
      <c r="G251" s="23">
        <v>-879316</v>
      </c>
      <c r="H251" s="23">
        <v>-879316</v>
      </c>
      <c r="I251" s="23" t="s">
        <v>530</v>
      </c>
      <c r="J251" s="23" t="s">
        <v>530</v>
      </c>
      <c r="K251" s="23">
        <v>-969514</v>
      </c>
      <c r="L251" s="23">
        <v>18664</v>
      </c>
      <c r="M251" s="24" t="s">
        <v>181</v>
      </c>
      <c r="N251" s="25">
        <v>141002</v>
      </c>
      <c r="O251" s="23" t="s">
        <v>406</v>
      </c>
      <c r="Q251" s="14"/>
      <c r="R251" s="14"/>
      <c r="S251" s="14"/>
    </row>
    <row r="252" spans="1:19" ht="18.75">
      <c r="B252" s="22">
        <f t="shared" si="26"/>
        <v>22.078150686361969</v>
      </c>
      <c r="C252" s="22">
        <f t="shared" si="27"/>
        <v>21.777516185991761</v>
      </c>
      <c r="D252" s="23">
        <v>7400000</v>
      </c>
      <c r="E252" s="23">
        <f t="shared" si="28"/>
        <v>339800</v>
      </c>
      <c r="F252" s="23">
        <f t="shared" si="29"/>
        <v>418012</v>
      </c>
      <c r="G252" s="23">
        <v>335173</v>
      </c>
      <c r="H252" s="23">
        <f>386485+25000</f>
        <v>411485</v>
      </c>
      <c r="I252" s="23">
        <v>10340</v>
      </c>
      <c r="J252" s="23">
        <v>14967</v>
      </c>
      <c r="K252" s="23">
        <v>10340</v>
      </c>
      <c r="L252" s="23">
        <v>16867</v>
      </c>
      <c r="M252" s="24" t="s">
        <v>457</v>
      </c>
      <c r="N252" s="25">
        <v>141004</v>
      </c>
      <c r="O252" s="23" t="s">
        <v>407</v>
      </c>
      <c r="Q252" s="14"/>
      <c r="R252" s="14"/>
      <c r="S252" s="14"/>
    </row>
    <row r="253" spans="1:19" ht="18.75">
      <c r="B253" s="22">
        <f t="shared" si="26"/>
        <v>23.726970821513863</v>
      </c>
      <c r="C253" s="22">
        <f t="shared" si="27"/>
        <v>18.365761691662762</v>
      </c>
      <c r="D253" s="23">
        <v>29200000</v>
      </c>
      <c r="E253" s="23">
        <f t="shared" si="28"/>
        <v>1589915</v>
      </c>
      <c r="F253" s="23">
        <f t="shared" si="29"/>
        <v>1918088</v>
      </c>
      <c r="G253" s="23">
        <v>1230667</v>
      </c>
      <c r="H253" s="23">
        <f>1453598+103699</f>
        <v>1557297</v>
      </c>
      <c r="I253" s="23">
        <v>1203522</v>
      </c>
      <c r="J253" s="23">
        <v>1562770</v>
      </c>
      <c r="K253" s="23">
        <v>1304987</v>
      </c>
      <c r="L253" s="23">
        <v>1665778</v>
      </c>
      <c r="M253" s="24" t="s">
        <v>182</v>
      </c>
      <c r="N253" s="25">
        <v>141029</v>
      </c>
      <c r="O253" s="23" t="s">
        <v>408</v>
      </c>
      <c r="Q253" s="14"/>
      <c r="R253" s="14"/>
      <c r="S253" s="14"/>
    </row>
    <row r="254" spans="1:19" ht="18.75">
      <c r="B254" s="22" t="str">
        <f t="shared" si="26"/>
        <v>-</v>
      </c>
      <c r="C254" s="22" t="s">
        <v>534</v>
      </c>
      <c r="D254" s="23">
        <v>2970000</v>
      </c>
      <c r="E254" s="23" t="e">
        <f t="shared" si="28"/>
        <v>#VALUE!</v>
      </c>
      <c r="F254" s="23">
        <f t="shared" si="29"/>
        <v>-3062943</v>
      </c>
      <c r="G254" s="23">
        <v>-2766936</v>
      </c>
      <c r="H254" s="23">
        <v>-2766936</v>
      </c>
      <c r="I254" s="23" t="s">
        <v>530</v>
      </c>
      <c r="J254" s="23" t="s">
        <v>530</v>
      </c>
      <c r="K254" s="23">
        <v>-546798</v>
      </c>
      <c r="L254" s="23">
        <v>-842805</v>
      </c>
      <c r="M254" s="24" t="s">
        <v>183</v>
      </c>
      <c r="N254" s="25">
        <v>141044</v>
      </c>
      <c r="O254" s="23" t="s">
        <v>409</v>
      </c>
      <c r="Q254" s="14"/>
      <c r="R254" s="14"/>
      <c r="S254" s="14"/>
    </row>
    <row r="255" spans="1:19" ht="18.75">
      <c r="B255" s="22">
        <f t="shared" si="26"/>
        <v>8.4603635710221301</v>
      </c>
      <c r="C255" s="22">
        <f t="shared" si="27"/>
        <v>9.7674539215319047</v>
      </c>
      <c r="D255" s="23">
        <v>6779999.9999999991</v>
      </c>
      <c r="E255" s="23">
        <f t="shared" si="28"/>
        <v>694142</v>
      </c>
      <c r="F255" s="23">
        <f t="shared" si="29"/>
        <v>891522</v>
      </c>
      <c r="G255" s="23">
        <v>801384</v>
      </c>
      <c r="H255" s="23">
        <v>1018672</v>
      </c>
      <c r="I255" s="23">
        <v>229596</v>
      </c>
      <c r="J255" s="23">
        <v>122354</v>
      </c>
      <c r="K255" s="23">
        <v>269246</v>
      </c>
      <c r="L255" s="23">
        <v>142096</v>
      </c>
      <c r="M255" s="24" t="s">
        <v>184</v>
      </c>
      <c r="N255" s="25">
        <v>141052</v>
      </c>
      <c r="O255" s="23" t="s">
        <v>410</v>
      </c>
      <c r="Q255" s="14"/>
      <c r="R255" s="14"/>
      <c r="S255" s="14"/>
    </row>
    <row r="256" spans="1:19" ht="18.75">
      <c r="B256" s="22">
        <f t="shared" si="26"/>
        <v>10.451317446627023</v>
      </c>
      <c r="C256" s="22">
        <f t="shared" si="27"/>
        <v>11.092921707503185</v>
      </c>
      <c r="D256" s="23">
        <v>59400000</v>
      </c>
      <c r="E256" s="23">
        <f t="shared" si="28"/>
        <v>5354766</v>
      </c>
      <c r="F256" s="23">
        <f t="shared" si="29"/>
        <v>5516716</v>
      </c>
      <c r="G256" s="23">
        <v>5683494</v>
      </c>
      <c r="H256" s="23">
        <v>5683494</v>
      </c>
      <c r="I256" s="23">
        <v>2133709</v>
      </c>
      <c r="J256" s="23">
        <v>1804981</v>
      </c>
      <c r="K256" s="23">
        <v>2133709</v>
      </c>
      <c r="L256" s="23">
        <v>1966931</v>
      </c>
      <c r="M256" s="24" t="s">
        <v>185</v>
      </c>
      <c r="N256" s="25">
        <v>141084</v>
      </c>
      <c r="O256" s="23" t="s">
        <v>411</v>
      </c>
      <c r="Q256" s="14"/>
      <c r="R256" s="14"/>
      <c r="S256" s="14"/>
    </row>
    <row r="257" spans="1:19" ht="18.75">
      <c r="B257" s="22">
        <f t="shared" si="26"/>
        <v>40.583631268721618</v>
      </c>
      <c r="C257" s="22">
        <f t="shared" si="27"/>
        <v>46.97702823319397</v>
      </c>
      <c r="D257" s="23">
        <v>21000000</v>
      </c>
      <c r="E257" s="23">
        <f t="shared" si="28"/>
        <v>447027</v>
      </c>
      <c r="F257" s="23">
        <f t="shared" si="29"/>
        <v>503140</v>
      </c>
      <c r="G257" s="23">
        <v>517450</v>
      </c>
      <c r="H257" s="23">
        <v>571020</v>
      </c>
      <c r="I257" s="23">
        <v>498240</v>
      </c>
      <c r="J257" s="23">
        <v>427817</v>
      </c>
      <c r="K257" s="23">
        <v>498240</v>
      </c>
      <c r="L257" s="23">
        <v>430360</v>
      </c>
      <c r="M257" s="24" t="s">
        <v>186</v>
      </c>
      <c r="N257" s="25">
        <v>141092</v>
      </c>
      <c r="O257" s="23" t="s">
        <v>412</v>
      </c>
      <c r="Q257" s="14"/>
      <c r="R257" s="14"/>
      <c r="S257" s="14"/>
    </row>
    <row r="258" spans="1:19" ht="18.75">
      <c r="B258" s="22">
        <f t="shared" si="26"/>
        <v>15.938337758878451</v>
      </c>
      <c r="C258" s="22" t="str">
        <f t="shared" si="27"/>
        <v>-</v>
      </c>
      <c r="D258" s="23">
        <v>20000000</v>
      </c>
      <c r="E258" s="23">
        <f t="shared" si="28"/>
        <v>-1160698</v>
      </c>
      <c r="F258" s="23">
        <f t="shared" si="29"/>
        <v>-1146896</v>
      </c>
      <c r="G258" s="23">
        <v>1254836</v>
      </c>
      <c r="H258" s="23">
        <v>1298047</v>
      </c>
      <c r="I258" s="23">
        <v>822812</v>
      </c>
      <c r="J258" s="23">
        <v>-1592722</v>
      </c>
      <c r="K258" s="23">
        <v>852221</v>
      </c>
      <c r="L258" s="23">
        <v>-1592722</v>
      </c>
      <c r="M258" s="24" t="s">
        <v>187</v>
      </c>
      <c r="N258" s="25">
        <v>141094</v>
      </c>
      <c r="O258" s="23" t="s">
        <v>413</v>
      </c>
      <c r="Q258" s="14"/>
      <c r="R258" s="14"/>
      <c r="S258" s="14"/>
    </row>
    <row r="259" spans="1:19" ht="18.75" hidden="1">
      <c r="B259" s="22" t="str">
        <f t="shared" si="26"/>
        <v>-</v>
      </c>
      <c r="C259" s="22" t="str">
        <f t="shared" si="27"/>
        <v>-</v>
      </c>
      <c r="D259" s="23">
        <v>1951200</v>
      </c>
      <c r="E259" s="23">
        <f t="shared" si="28"/>
        <v>0</v>
      </c>
      <c r="F259" s="23">
        <f t="shared" si="29"/>
        <v>0</v>
      </c>
      <c r="G259" s="23"/>
      <c r="H259" s="23"/>
      <c r="I259" s="23"/>
      <c r="J259" s="23"/>
      <c r="K259" s="23"/>
      <c r="L259" s="23"/>
      <c r="M259" s="24" t="s">
        <v>498</v>
      </c>
      <c r="N259" s="25">
        <v>141095</v>
      </c>
      <c r="O259" s="23" t="s">
        <v>499</v>
      </c>
      <c r="Q259" s="14"/>
      <c r="R259" s="14"/>
      <c r="S259" s="14"/>
    </row>
    <row r="260" spans="1:19" ht="18.75">
      <c r="B260" s="22" t="str">
        <f t="shared" si="26"/>
        <v>-</v>
      </c>
      <c r="C260" s="22" t="s">
        <v>534</v>
      </c>
      <c r="D260" s="23">
        <v>1960000.0000000002</v>
      </c>
      <c r="E260" s="23" t="s">
        <v>530</v>
      </c>
      <c r="F260" s="23">
        <f t="shared" si="29"/>
        <v>-625442</v>
      </c>
      <c r="G260" s="23">
        <f>+H260</f>
        <v>-737219</v>
      </c>
      <c r="H260" s="23">
        <v>-737219</v>
      </c>
      <c r="I260" s="23" t="s">
        <v>530</v>
      </c>
      <c r="J260" s="23" t="s">
        <v>530</v>
      </c>
      <c r="K260" s="23">
        <v>-167267</v>
      </c>
      <c r="L260" s="23">
        <v>-55490</v>
      </c>
      <c r="M260" s="24" t="s">
        <v>188</v>
      </c>
      <c r="N260" s="25">
        <v>141105</v>
      </c>
      <c r="O260" s="23" t="s">
        <v>414</v>
      </c>
      <c r="Q260" s="14"/>
      <c r="R260" s="14"/>
      <c r="S260" s="14"/>
    </row>
    <row r="261" spans="1:19" ht="18.75">
      <c r="B261" s="22" t="str">
        <f t="shared" si="26"/>
        <v>-</v>
      </c>
      <c r="C261" s="22" t="str">
        <f t="shared" si="27"/>
        <v>-</v>
      </c>
      <c r="D261" s="23">
        <v>6600000</v>
      </c>
      <c r="E261" s="23">
        <f t="shared" si="28"/>
        <v>-1460208</v>
      </c>
      <c r="F261" s="23">
        <f t="shared" si="29"/>
        <v>-1470308</v>
      </c>
      <c r="G261" s="23">
        <v>-805552</v>
      </c>
      <c r="H261" s="23">
        <v>-805552</v>
      </c>
      <c r="I261" s="23">
        <v>64893</v>
      </c>
      <c r="J261" s="23">
        <v>-589763</v>
      </c>
      <c r="K261" s="23">
        <v>74993</v>
      </c>
      <c r="L261" s="23">
        <v>-589763</v>
      </c>
      <c r="M261" s="24" t="s">
        <v>189</v>
      </c>
      <c r="N261" s="25">
        <v>141141</v>
      </c>
      <c r="O261" s="23" t="s">
        <v>415</v>
      </c>
      <c r="Q261" s="14"/>
      <c r="R261" s="14"/>
      <c r="S261" s="14"/>
    </row>
    <row r="262" spans="1:19" ht="18.75">
      <c r="B262" s="22" t="str">
        <f t="shared" si="26"/>
        <v>-</v>
      </c>
      <c r="C262" s="22" t="s">
        <v>534</v>
      </c>
      <c r="D262" s="23">
        <v>3375000</v>
      </c>
      <c r="E262" s="23" t="s">
        <v>530</v>
      </c>
      <c r="F262" s="23">
        <f t="shared" si="29"/>
        <v>-456657</v>
      </c>
      <c r="G262" s="23">
        <v>-482655</v>
      </c>
      <c r="H262" s="23">
        <v>-621884</v>
      </c>
      <c r="I262" s="23" t="s">
        <v>530</v>
      </c>
      <c r="J262" s="23" t="s">
        <v>530</v>
      </c>
      <c r="K262" s="23">
        <v>-379034</v>
      </c>
      <c r="L262" s="23">
        <v>-213807</v>
      </c>
      <c r="M262" s="24" t="s">
        <v>190</v>
      </c>
      <c r="N262" s="25">
        <v>141205</v>
      </c>
      <c r="O262" s="23" t="s">
        <v>416</v>
      </c>
      <c r="Q262" s="14"/>
      <c r="R262" s="14"/>
      <c r="S262" s="14"/>
    </row>
    <row r="263" spans="1:19" ht="18.75" hidden="1">
      <c r="A263" s="15"/>
      <c r="B263" s="22" t="str">
        <f t="shared" si="26"/>
        <v>-</v>
      </c>
      <c r="C263" s="22" t="str">
        <f t="shared" si="27"/>
        <v>-</v>
      </c>
      <c r="D263" s="23">
        <v>19680000</v>
      </c>
      <c r="E263" s="23">
        <f t="shared" si="28"/>
        <v>0</v>
      </c>
      <c r="F263" s="23">
        <f t="shared" si="29"/>
        <v>0</v>
      </c>
      <c r="G263" s="23"/>
      <c r="H263" s="23"/>
      <c r="I263" s="23"/>
      <c r="J263" s="23"/>
      <c r="K263" s="23"/>
      <c r="L263" s="23"/>
      <c r="M263" s="24" t="s">
        <v>191</v>
      </c>
      <c r="N263" s="25">
        <v>141206</v>
      </c>
      <c r="O263" s="23" t="s">
        <v>417</v>
      </c>
      <c r="Q263" s="14"/>
      <c r="R263" s="14"/>
      <c r="S263" s="14"/>
    </row>
    <row r="264" spans="1:19" ht="18.75">
      <c r="A264" s="15"/>
      <c r="B264" s="22" t="s">
        <v>534</v>
      </c>
      <c r="C264" s="22" t="s">
        <v>534</v>
      </c>
      <c r="D264" s="23" t="s">
        <v>534</v>
      </c>
      <c r="E264" s="23" t="s">
        <v>534</v>
      </c>
      <c r="F264" s="23" t="s">
        <v>534</v>
      </c>
      <c r="G264" s="23"/>
      <c r="H264" s="23"/>
      <c r="I264" s="23">
        <v>753551</v>
      </c>
      <c r="J264" s="23">
        <v>454373</v>
      </c>
      <c r="K264" s="23">
        <v>843960</v>
      </c>
      <c r="L264" s="23">
        <f>514280+9124</f>
        <v>523404</v>
      </c>
      <c r="M264" s="24" t="s">
        <v>571</v>
      </c>
      <c r="N264" s="25">
        <v>141222</v>
      </c>
      <c r="O264" s="23"/>
      <c r="Q264" s="14"/>
      <c r="R264" s="14"/>
      <c r="S264" s="14"/>
    </row>
    <row r="265" spans="1:19" s="26" customFormat="1" ht="20.25">
      <c r="B265" s="27">
        <f t="shared" si="26"/>
        <v>43.694809802940071</v>
      </c>
      <c r="C265" s="27">
        <f t="shared" si="27"/>
        <v>193.25369852272169</v>
      </c>
      <c r="D265" s="28">
        <f>SUM(D251:D263)</f>
        <v>181391400</v>
      </c>
      <c r="E265" s="28">
        <f t="shared" si="28"/>
        <v>938618</v>
      </c>
      <c r="F265" s="28">
        <f t="shared" si="29"/>
        <v>1750134</v>
      </c>
      <c r="G265" s="28">
        <f t="shared" ref="G265:L265" si="36">SUM(G251:G263)</f>
        <v>4151326</v>
      </c>
      <c r="H265" s="28">
        <f t="shared" si="36"/>
        <v>4729108</v>
      </c>
      <c r="I265" s="28">
        <f t="shared" si="36"/>
        <v>4963112</v>
      </c>
      <c r="J265" s="28">
        <f t="shared" si="36"/>
        <v>1750404</v>
      </c>
      <c r="K265" s="28">
        <f>SUM(K251:K264)</f>
        <v>3925083</v>
      </c>
      <c r="L265" s="28">
        <f t="shared" si="36"/>
        <v>946109</v>
      </c>
      <c r="M265" s="29" t="s">
        <v>555</v>
      </c>
      <c r="N265" s="30"/>
      <c r="O265" s="28"/>
      <c r="P265" s="38"/>
      <c r="Q265" s="38"/>
    </row>
    <row r="266" spans="1:19" s="15" customFormat="1" ht="20.25">
      <c r="A266" s="12"/>
      <c r="B266" s="31"/>
      <c r="C266" s="31"/>
      <c r="D266" s="32"/>
      <c r="E266" s="32"/>
      <c r="F266" s="32"/>
      <c r="G266" s="32"/>
      <c r="H266" s="32"/>
      <c r="I266" s="32"/>
      <c r="J266" s="32"/>
      <c r="K266" s="32"/>
      <c r="L266" s="32"/>
      <c r="M266" s="33"/>
      <c r="N266" s="34"/>
      <c r="O266" s="32"/>
    </row>
    <row r="267" spans="1:19" ht="18.75">
      <c r="B267" s="22">
        <f t="shared" si="26"/>
        <v>8.0845702641623234</v>
      </c>
      <c r="C267" s="22">
        <f t="shared" si="27"/>
        <v>6.0830645505915548</v>
      </c>
      <c r="D267" s="23">
        <v>80000000</v>
      </c>
      <c r="E267" s="23">
        <f t="shared" si="28"/>
        <v>13151266</v>
      </c>
      <c r="F267" s="23">
        <f t="shared" si="29"/>
        <v>13345465</v>
      </c>
      <c r="G267" s="23">
        <v>9895393</v>
      </c>
      <c r="H267" s="23">
        <f>10228030-204560-43920</f>
        <v>9979550</v>
      </c>
      <c r="I267" s="23">
        <v>4790710</v>
      </c>
      <c r="J267" s="23">
        <v>8046583</v>
      </c>
      <c r="K267" s="23">
        <f>5276204-36674</f>
        <v>5239530</v>
      </c>
      <c r="L267" s="23">
        <f>8687223-81778</f>
        <v>8605445</v>
      </c>
      <c r="M267" s="24" t="s">
        <v>192</v>
      </c>
      <c r="N267" s="25">
        <v>141048</v>
      </c>
      <c r="O267" s="23" t="s">
        <v>418</v>
      </c>
      <c r="Q267" s="14"/>
      <c r="R267" s="14"/>
      <c r="S267" s="14"/>
    </row>
    <row r="268" spans="1:19" ht="18.75">
      <c r="B268" s="22">
        <f t="shared" si="26"/>
        <v>28.560523976751991</v>
      </c>
      <c r="C268" s="22" t="s">
        <v>534</v>
      </c>
      <c r="D268" s="23">
        <v>33450000</v>
      </c>
      <c r="E268" s="23" t="s">
        <v>530</v>
      </c>
      <c r="F268" s="23">
        <f t="shared" si="29"/>
        <v>2167369</v>
      </c>
      <c r="G268" s="23">
        <v>1171197</v>
      </c>
      <c r="H268" s="23">
        <f>1271197+82442</f>
        <v>1353639</v>
      </c>
      <c r="I268" s="23" t="s">
        <v>530</v>
      </c>
      <c r="J268" s="23" t="s">
        <v>530</v>
      </c>
      <c r="K268" s="23">
        <v>1060748</v>
      </c>
      <c r="L268" s="23">
        <v>1874478</v>
      </c>
      <c r="M268" s="24" t="s">
        <v>193</v>
      </c>
      <c r="N268" s="25">
        <v>141074</v>
      </c>
      <c r="O268" s="23" t="s">
        <v>419</v>
      </c>
      <c r="Q268" s="14"/>
      <c r="R268" s="14"/>
      <c r="S268" s="14"/>
    </row>
    <row r="269" spans="1:19" s="26" customFormat="1" ht="20.25">
      <c r="B269" s="27">
        <f t="shared" si="26"/>
        <v>10.251577044057836</v>
      </c>
      <c r="C269" s="27">
        <f t="shared" si="27"/>
        <v>7.921123622382547</v>
      </c>
      <c r="D269" s="28">
        <f>SUM(D267:D268)</f>
        <v>113450000</v>
      </c>
      <c r="E269" s="28">
        <f t="shared" si="28"/>
        <v>14322463</v>
      </c>
      <c r="F269" s="28">
        <f t="shared" si="29"/>
        <v>15512834</v>
      </c>
      <c r="G269" s="28">
        <f t="shared" ref="G269:L269" si="37">SUM(G267:G268)</f>
        <v>11066590</v>
      </c>
      <c r="H269" s="28">
        <f t="shared" si="37"/>
        <v>11333189</v>
      </c>
      <c r="I269" s="28">
        <f t="shared" si="37"/>
        <v>4790710</v>
      </c>
      <c r="J269" s="28">
        <f t="shared" si="37"/>
        <v>8046583</v>
      </c>
      <c r="K269" s="28">
        <f t="shared" si="37"/>
        <v>6300278</v>
      </c>
      <c r="L269" s="28">
        <f t="shared" si="37"/>
        <v>10479923</v>
      </c>
      <c r="M269" s="29" t="s">
        <v>556</v>
      </c>
      <c r="N269" s="30"/>
      <c r="O269" s="28"/>
      <c r="P269" s="38"/>
      <c r="Q269" s="38"/>
    </row>
    <row r="270" spans="1:19" s="15" customFormat="1" ht="20.25">
      <c r="A270" s="12"/>
      <c r="B270" s="31"/>
      <c r="C270" s="31"/>
      <c r="D270" s="32"/>
      <c r="E270" s="32"/>
      <c r="F270" s="32"/>
      <c r="G270" s="32"/>
      <c r="H270" s="32"/>
      <c r="I270" s="32"/>
      <c r="J270" s="32"/>
      <c r="K270" s="32"/>
      <c r="L270" s="32"/>
      <c r="M270" s="33"/>
      <c r="N270" s="34"/>
      <c r="O270" s="32"/>
    </row>
    <row r="271" spans="1:19" ht="18.75">
      <c r="B271" s="22">
        <f t="shared" ref="B271:B320" si="38">+IF(G271&gt;0,+D271/G271,"-")</f>
        <v>28.233164919689315</v>
      </c>
      <c r="C271" s="22">
        <f t="shared" ref="C271:C320" si="39">+IF(E271&gt;0,+D271/E271,"-")</f>
        <v>23.273103403691373</v>
      </c>
      <c r="D271" s="23">
        <v>9360000</v>
      </c>
      <c r="E271" s="23">
        <f t="shared" ref="E271:E320" si="40">+G271-I271+J271</f>
        <v>402181</v>
      </c>
      <c r="F271" s="23">
        <f t="shared" ref="F271:F320" si="41">+H271-K271+L271</f>
        <v>499716</v>
      </c>
      <c r="G271" s="23">
        <v>331525</v>
      </c>
      <c r="H271" s="23">
        <f>371877+45806</f>
        <v>417683</v>
      </c>
      <c r="I271" s="23">
        <v>197449</v>
      </c>
      <c r="J271" s="23">
        <v>268105</v>
      </c>
      <c r="K271" s="23">
        <v>223622</v>
      </c>
      <c r="L271" s="23">
        <v>305655</v>
      </c>
      <c r="M271" s="24" t="s">
        <v>194</v>
      </c>
      <c r="N271" s="25">
        <v>141005</v>
      </c>
      <c r="O271" s="23" t="s">
        <v>420</v>
      </c>
      <c r="Q271" s="14"/>
      <c r="R271" s="14"/>
      <c r="S271" s="14"/>
    </row>
    <row r="272" spans="1:19" ht="18.75">
      <c r="B272" s="22">
        <f t="shared" si="38"/>
        <v>24.631959462272629</v>
      </c>
      <c r="C272" s="22">
        <f t="shared" si="39"/>
        <v>27.369804635518292</v>
      </c>
      <c r="D272" s="23">
        <v>10057500</v>
      </c>
      <c r="E272" s="23">
        <f t="shared" si="40"/>
        <v>367467</v>
      </c>
      <c r="F272" s="23">
        <f t="shared" si="41"/>
        <v>481437</v>
      </c>
      <c r="G272" s="23">
        <v>408311</v>
      </c>
      <c r="H272" s="23">
        <f>448311+43970</f>
        <v>492281</v>
      </c>
      <c r="I272" s="23">
        <v>316185</v>
      </c>
      <c r="J272" s="23">
        <v>275341</v>
      </c>
      <c r="K272" s="23">
        <v>316185</v>
      </c>
      <c r="L272" s="23">
        <v>305341</v>
      </c>
      <c r="M272" s="24" t="s">
        <v>195</v>
      </c>
      <c r="N272" s="25">
        <v>141006</v>
      </c>
      <c r="O272" s="23" t="s">
        <v>421</v>
      </c>
      <c r="Q272" s="14"/>
      <c r="R272" s="14"/>
      <c r="S272" s="14"/>
    </row>
    <row r="273" spans="1:19" ht="18.75">
      <c r="A273" s="15"/>
      <c r="B273" s="22" t="str">
        <f t="shared" si="38"/>
        <v>-</v>
      </c>
      <c r="C273" s="22" t="s">
        <v>534</v>
      </c>
      <c r="D273" s="23">
        <v>2523966.2000000002</v>
      </c>
      <c r="E273" s="23" t="s">
        <v>566</v>
      </c>
      <c r="F273" s="23">
        <f t="shared" si="41"/>
        <v>-822733</v>
      </c>
      <c r="G273" s="23">
        <v>-482450</v>
      </c>
      <c r="H273" s="23">
        <f>+-479624+49984</f>
        <v>-429640</v>
      </c>
      <c r="I273" s="23" t="s">
        <v>530</v>
      </c>
      <c r="J273" s="23" t="s">
        <v>530</v>
      </c>
      <c r="K273" s="23">
        <v>-61600</v>
      </c>
      <c r="L273" s="23">
        <v>-454693</v>
      </c>
      <c r="M273" s="24" t="s">
        <v>196</v>
      </c>
      <c r="N273" s="25">
        <v>141011</v>
      </c>
      <c r="O273" s="23" t="s">
        <v>422</v>
      </c>
      <c r="Q273" s="14"/>
      <c r="R273" s="14"/>
      <c r="S273" s="14"/>
    </row>
    <row r="274" spans="1:19" ht="18.75">
      <c r="B274" s="22">
        <f t="shared" si="38"/>
        <v>11.733122166204707</v>
      </c>
      <c r="C274" s="22">
        <f t="shared" si="39"/>
        <v>18.067271027866322</v>
      </c>
      <c r="D274" s="23">
        <v>1089750000</v>
      </c>
      <c r="E274" s="23">
        <f t="shared" si="40"/>
        <v>60316248</v>
      </c>
      <c r="F274" s="23">
        <f t="shared" si="41"/>
        <v>65844013</v>
      </c>
      <c r="G274" s="23">
        <v>92878092</v>
      </c>
      <c r="H274" s="23">
        <f>105310821+3051460+45000</f>
        <v>108407281</v>
      </c>
      <c r="I274" s="23">
        <v>67171289</v>
      </c>
      <c r="J274" s="23">
        <v>34609445</v>
      </c>
      <c r="K274" s="23">
        <v>78541789</v>
      </c>
      <c r="L274" s="23">
        <v>35978521</v>
      </c>
      <c r="M274" s="24" t="s">
        <v>197</v>
      </c>
      <c r="N274" s="25">
        <v>141018</v>
      </c>
      <c r="O274" s="23" t="s">
        <v>423</v>
      </c>
      <c r="Q274" s="14"/>
      <c r="R274" s="14"/>
      <c r="S274" s="14"/>
    </row>
    <row r="275" spans="1:19" ht="18.75">
      <c r="B275" s="22">
        <f t="shared" si="38"/>
        <v>8.0401423684740543</v>
      </c>
      <c r="C275" s="22">
        <f t="shared" si="39"/>
        <v>18.324825189749252</v>
      </c>
      <c r="D275" s="23">
        <v>367502316.80000001</v>
      </c>
      <c r="E275" s="23">
        <f t="shared" si="40"/>
        <v>20054888</v>
      </c>
      <c r="F275" s="23">
        <f t="shared" si="41"/>
        <v>24672041</v>
      </c>
      <c r="G275" s="23">
        <v>45708434</v>
      </c>
      <c r="H275" s="23">
        <f>55601647-611575</f>
        <v>54990072</v>
      </c>
      <c r="I275" s="23">
        <v>34580447</v>
      </c>
      <c r="J275" s="23">
        <v>8926901</v>
      </c>
      <c r="K275" s="23">
        <f>41664950-547381</f>
        <v>41117569</v>
      </c>
      <c r="L275" s="23">
        <f>11301307-501769</f>
        <v>10799538</v>
      </c>
      <c r="M275" s="24" t="s">
        <v>198</v>
      </c>
      <c r="N275" s="25">
        <v>141042</v>
      </c>
      <c r="O275" s="23" t="s">
        <v>424</v>
      </c>
      <c r="Q275" s="14"/>
      <c r="R275" s="14"/>
      <c r="S275" s="14"/>
    </row>
    <row r="276" spans="1:19" ht="18.75">
      <c r="A276" s="15"/>
      <c r="B276" s="22">
        <f t="shared" si="38"/>
        <v>20.550208323846821</v>
      </c>
      <c r="C276" s="22">
        <f t="shared" si="39"/>
        <v>20.549950681370568</v>
      </c>
      <c r="D276" s="23">
        <v>2707818750</v>
      </c>
      <c r="E276" s="23">
        <f t="shared" si="40"/>
        <v>131767652</v>
      </c>
      <c r="F276" s="23">
        <f t="shared" si="41"/>
        <v>131767309</v>
      </c>
      <c r="G276" s="23">
        <v>131766000</v>
      </c>
      <c r="H276" s="23">
        <v>131766000</v>
      </c>
      <c r="I276" s="23">
        <v>68540</v>
      </c>
      <c r="J276" s="23">
        <v>70192</v>
      </c>
      <c r="K276" s="23">
        <v>80563</v>
      </c>
      <c r="L276" s="23">
        <v>81872</v>
      </c>
      <c r="M276" s="24" t="s">
        <v>199</v>
      </c>
      <c r="N276" s="25">
        <v>141043</v>
      </c>
      <c r="O276" s="23" t="s">
        <v>425</v>
      </c>
      <c r="Q276" s="14"/>
      <c r="R276" s="14"/>
      <c r="S276" s="14"/>
    </row>
    <row r="277" spans="1:19" ht="18.75">
      <c r="B277" s="22" t="str">
        <f t="shared" si="38"/>
        <v>-</v>
      </c>
      <c r="C277" s="22" t="s">
        <v>534</v>
      </c>
      <c r="D277" s="23">
        <v>1500000</v>
      </c>
      <c r="E277" s="23" t="s">
        <v>530</v>
      </c>
      <c r="F277" s="23">
        <f t="shared" si="41"/>
        <v>-1010572</v>
      </c>
      <c r="G277" s="23">
        <v>-841408</v>
      </c>
      <c r="H277" s="23">
        <v>-841408</v>
      </c>
      <c r="I277" s="23" t="s">
        <v>530</v>
      </c>
      <c r="J277" s="23" t="s">
        <v>530</v>
      </c>
      <c r="K277" s="23">
        <v>-88238</v>
      </c>
      <c r="L277" s="23">
        <v>-257402</v>
      </c>
      <c r="M277" s="24" t="s">
        <v>200</v>
      </c>
      <c r="N277" s="25">
        <v>141045</v>
      </c>
      <c r="O277" s="23" t="s">
        <v>426</v>
      </c>
      <c r="Q277" s="14"/>
      <c r="R277" s="14"/>
      <c r="S277" s="14"/>
    </row>
    <row r="278" spans="1:19" ht="18.75">
      <c r="B278" s="22">
        <f t="shared" si="38"/>
        <v>13.745604787870363</v>
      </c>
      <c r="C278" s="22">
        <f t="shared" si="39"/>
        <v>38.526695323037316</v>
      </c>
      <c r="D278" s="23">
        <v>84350000</v>
      </c>
      <c r="E278" s="23">
        <f t="shared" si="40"/>
        <v>2189391</v>
      </c>
      <c r="F278" s="23">
        <f t="shared" si="41"/>
        <v>2551547</v>
      </c>
      <c r="G278" s="23">
        <v>6136507</v>
      </c>
      <c r="H278" s="23">
        <f>6190198+233756+82247</f>
        <v>6506201</v>
      </c>
      <c r="I278" s="23">
        <v>6015010</v>
      </c>
      <c r="J278" s="23">
        <v>2067894</v>
      </c>
      <c r="K278" s="23">
        <f>6075437+40574</f>
        <v>6116011</v>
      </c>
      <c r="L278" s="23">
        <v>2161357</v>
      </c>
      <c r="M278" s="24" t="s">
        <v>201</v>
      </c>
      <c r="N278" s="25">
        <v>141070</v>
      </c>
      <c r="O278" s="23" t="s">
        <v>427</v>
      </c>
      <c r="Q278" s="14"/>
      <c r="R278" s="14"/>
      <c r="S278" s="14"/>
    </row>
    <row r="279" spans="1:19" ht="18.75">
      <c r="B279" s="22">
        <f t="shared" si="38"/>
        <v>6.6019916007995745</v>
      </c>
      <c r="C279" s="22">
        <f t="shared" si="39"/>
        <v>8.2955149172048728</v>
      </c>
      <c r="D279" s="23">
        <v>6480000</v>
      </c>
      <c r="E279" s="23">
        <f t="shared" si="40"/>
        <v>781145</v>
      </c>
      <c r="F279" s="23">
        <f t="shared" si="41"/>
        <v>976073</v>
      </c>
      <c r="G279" s="23">
        <v>981522</v>
      </c>
      <c r="H279" s="23">
        <f>1097724+74803</f>
        <v>1172527</v>
      </c>
      <c r="I279" s="23">
        <v>663431</v>
      </c>
      <c r="J279" s="23">
        <v>463054</v>
      </c>
      <c r="K279" s="23">
        <v>663431</v>
      </c>
      <c r="L279" s="23">
        <v>466977</v>
      </c>
      <c r="M279" s="24" t="s">
        <v>202</v>
      </c>
      <c r="N279" s="25">
        <v>141091</v>
      </c>
      <c r="O279" s="23" t="s">
        <v>428</v>
      </c>
      <c r="Q279" s="14"/>
      <c r="R279" s="14"/>
      <c r="S279" s="14"/>
    </row>
    <row r="280" spans="1:19" ht="18.75">
      <c r="B280" s="22" t="str">
        <f t="shared" si="38"/>
        <v>-</v>
      </c>
      <c r="C280" s="22" t="s">
        <v>534</v>
      </c>
      <c r="D280" s="23">
        <v>0</v>
      </c>
      <c r="E280" s="23" t="s">
        <v>530</v>
      </c>
      <c r="F280" s="23">
        <f t="shared" si="41"/>
        <v>6498022</v>
      </c>
      <c r="G280" s="23">
        <f>+H280</f>
        <v>-1102783</v>
      </c>
      <c r="H280" s="23">
        <f>+-1383093+280310</f>
        <v>-1102783</v>
      </c>
      <c r="I280" s="23" t="s">
        <v>530</v>
      </c>
      <c r="J280" s="23" t="s">
        <v>530</v>
      </c>
      <c r="K280" s="23">
        <v>-7464462</v>
      </c>
      <c r="L280" s="23">
        <v>136343</v>
      </c>
      <c r="M280" s="24" t="s">
        <v>203</v>
      </c>
      <c r="N280" s="25">
        <v>141117</v>
      </c>
      <c r="O280" s="23" t="s">
        <v>429</v>
      </c>
      <c r="Q280" s="14"/>
      <c r="R280" s="14"/>
      <c r="S280" s="14"/>
    </row>
    <row r="281" spans="1:19" ht="18.75">
      <c r="B281" s="22">
        <f t="shared" si="38"/>
        <v>78.809661085490092</v>
      </c>
      <c r="C281" s="22" t="s">
        <v>534</v>
      </c>
      <c r="D281" s="23">
        <v>9159574.0500000007</v>
      </c>
      <c r="E281" s="23" t="s">
        <v>530</v>
      </c>
      <c r="F281" s="23">
        <f t="shared" si="41"/>
        <v>120721</v>
      </c>
      <c r="G281" s="23">
        <v>116224</v>
      </c>
      <c r="H281" s="23">
        <v>122418</v>
      </c>
      <c r="I281" s="23" t="s">
        <v>530</v>
      </c>
      <c r="J281" s="23" t="s">
        <v>530</v>
      </c>
      <c r="K281" s="23">
        <v>42985</v>
      </c>
      <c r="L281" s="23">
        <v>41288</v>
      </c>
      <c r="M281" s="24" t="s">
        <v>204</v>
      </c>
      <c r="N281" s="25">
        <v>141170</v>
      </c>
      <c r="O281" s="23" t="s">
        <v>430</v>
      </c>
      <c r="Q281" s="14"/>
      <c r="R281" s="14"/>
      <c r="S281" s="14"/>
    </row>
    <row r="282" spans="1:19" ht="18.75">
      <c r="B282" s="22">
        <f t="shared" si="38"/>
        <v>99.192902470580989</v>
      </c>
      <c r="C282" s="22">
        <f t="shared" si="39"/>
        <v>42.550942199434417</v>
      </c>
      <c r="D282" s="23">
        <v>4830000</v>
      </c>
      <c r="E282" s="23">
        <f t="shared" si="40"/>
        <v>113511</v>
      </c>
      <c r="F282" s="23">
        <f t="shared" si="41"/>
        <v>122905</v>
      </c>
      <c r="G282" s="23">
        <v>48693</v>
      </c>
      <c r="H282" s="23">
        <f>48693+1455</f>
        <v>50148</v>
      </c>
      <c r="I282" s="23">
        <v>60813</v>
      </c>
      <c r="J282" s="23">
        <v>125631</v>
      </c>
      <c r="K282" s="23">
        <v>60813</v>
      </c>
      <c r="L282" s="23">
        <v>133570</v>
      </c>
      <c r="M282" s="24" t="s">
        <v>205</v>
      </c>
      <c r="N282" s="25">
        <v>141203</v>
      </c>
      <c r="O282" s="23" t="s">
        <v>431</v>
      </c>
      <c r="Q282" s="14"/>
      <c r="R282" s="14"/>
      <c r="S282" s="14"/>
    </row>
    <row r="283" spans="1:19" ht="18.75">
      <c r="B283" s="22" t="str">
        <f t="shared" si="38"/>
        <v>-</v>
      </c>
      <c r="C283" s="22" t="s">
        <v>534</v>
      </c>
      <c r="D283" s="23">
        <v>3100000</v>
      </c>
      <c r="E283" s="23" t="s">
        <v>530</v>
      </c>
      <c r="F283" s="23">
        <f t="shared" si="41"/>
        <v>-327486</v>
      </c>
      <c r="G283" s="23">
        <f>+H283</f>
        <v>-449417</v>
      </c>
      <c r="H283" s="23">
        <v>-449417</v>
      </c>
      <c r="I283" s="23" t="s">
        <v>530</v>
      </c>
      <c r="J283" s="23" t="s">
        <v>530</v>
      </c>
      <c r="K283" s="23">
        <v>-294264</v>
      </c>
      <c r="L283" s="23">
        <v>-172333</v>
      </c>
      <c r="M283" s="24" t="s">
        <v>515</v>
      </c>
      <c r="N283" s="25">
        <v>141216</v>
      </c>
      <c r="O283" s="23" t="s">
        <v>514</v>
      </c>
      <c r="Q283" s="14"/>
      <c r="R283" s="14"/>
      <c r="S283" s="14"/>
    </row>
    <row r="284" spans="1:19" ht="18.75">
      <c r="B284" s="22">
        <f t="shared" si="38"/>
        <v>0</v>
      </c>
      <c r="C284" s="22">
        <f t="shared" si="39"/>
        <v>0</v>
      </c>
      <c r="D284" s="23">
        <v>0</v>
      </c>
      <c r="E284" s="23">
        <f t="shared" si="40"/>
        <v>531544</v>
      </c>
      <c r="F284" s="23">
        <f t="shared" si="41"/>
        <v>607738</v>
      </c>
      <c r="G284" s="23">
        <f>+H284</f>
        <v>47759</v>
      </c>
      <c r="H284" s="23">
        <v>47759</v>
      </c>
      <c r="I284" s="23">
        <v>128927</v>
      </c>
      <c r="J284" s="23">
        <v>612712</v>
      </c>
      <c r="K284" s="23">
        <v>152477</v>
      </c>
      <c r="L284" s="23">
        <v>712456</v>
      </c>
      <c r="M284" s="24" t="s">
        <v>460</v>
      </c>
      <c r="N284" s="25">
        <v>141220</v>
      </c>
      <c r="O284" s="23" t="s">
        <v>494</v>
      </c>
      <c r="Q284" s="14"/>
      <c r="R284" s="14"/>
      <c r="S284" s="14"/>
    </row>
    <row r="285" spans="1:19" ht="18.75">
      <c r="B285" s="22">
        <f t="shared" si="38"/>
        <v>0</v>
      </c>
      <c r="C285" s="22">
        <f t="shared" si="39"/>
        <v>0</v>
      </c>
      <c r="D285" s="23">
        <v>0</v>
      </c>
      <c r="E285" s="23">
        <f t="shared" si="40"/>
        <v>67274</v>
      </c>
      <c r="F285" s="23">
        <f t="shared" si="41"/>
        <v>80988</v>
      </c>
      <c r="G285" s="23">
        <v>64635</v>
      </c>
      <c r="H285" s="23">
        <v>75172</v>
      </c>
      <c r="I285" s="23">
        <v>24327</v>
      </c>
      <c r="J285" s="23">
        <v>26966</v>
      </c>
      <c r="K285" s="23">
        <v>24327</v>
      </c>
      <c r="L285" s="23">
        <v>30143</v>
      </c>
      <c r="M285" s="24" t="s">
        <v>517</v>
      </c>
      <c r="N285" s="25">
        <v>141221</v>
      </c>
      <c r="O285" s="23" t="s">
        <v>516</v>
      </c>
      <c r="Q285" s="14"/>
      <c r="R285" s="14"/>
      <c r="S285" s="14"/>
    </row>
    <row r="286" spans="1:19" s="26" customFormat="1" ht="20.25">
      <c r="B286" s="27">
        <f t="shared" si="38"/>
        <v>15.588717677871404</v>
      </c>
      <c r="C286" s="27">
        <f t="shared" si="39"/>
        <v>20.092609227855132</v>
      </c>
      <c r="D286" s="28">
        <f>SUM(D271:D285)</f>
        <v>4296432107.0500002</v>
      </c>
      <c r="E286" s="28">
        <f t="shared" si="40"/>
        <v>213831467</v>
      </c>
      <c r="F286" s="28">
        <f t="shared" si="41"/>
        <v>232061719</v>
      </c>
      <c r="G286" s="28">
        <f t="shared" ref="G286:L286" si="42">SUM(G271:G285)</f>
        <v>275611644</v>
      </c>
      <c r="H286" s="28">
        <f t="shared" si="42"/>
        <v>301224294</v>
      </c>
      <c r="I286" s="28">
        <f t="shared" si="42"/>
        <v>109226418</v>
      </c>
      <c r="J286" s="28">
        <f t="shared" si="42"/>
        <v>47446241</v>
      </c>
      <c r="K286" s="28">
        <f t="shared" si="42"/>
        <v>119431208</v>
      </c>
      <c r="L286" s="28">
        <f t="shared" si="42"/>
        <v>50268633</v>
      </c>
      <c r="M286" s="29" t="s">
        <v>558</v>
      </c>
      <c r="N286" s="30"/>
      <c r="O286" s="28"/>
      <c r="P286" s="38"/>
      <c r="Q286" s="38"/>
    </row>
    <row r="287" spans="1:19" s="15" customFormat="1" ht="20.25">
      <c r="A287" s="12"/>
      <c r="B287" s="31"/>
      <c r="C287" s="31"/>
      <c r="D287" s="32"/>
      <c r="E287" s="32"/>
      <c r="F287" s="32"/>
      <c r="G287" s="32"/>
      <c r="H287" s="32"/>
      <c r="I287" s="32"/>
      <c r="J287" s="32"/>
      <c r="K287" s="32"/>
      <c r="L287" s="32"/>
      <c r="M287" s="33"/>
      <c r="N287" s="34"/>
      <c r="O287" s="32"/>
    </row>
    <row r="288" spans="1:19" ht="18.75">
      <c r="B288" s="22">
        <f t="shared" si="38"/>
        <v>9.5480524898065084</v>
      </c>
      <c r="C288" s="22" t="s">
        <v>534</v>
      </c>
      <c r="D288" s="23">
        <v>3753750</v>
      </c>
      <c r="E288" s="23" t="s">
        <v>530</v>
      </c>
      <c r="F288" s="23">
        <f t="shared" si="41"/>
        <v>411313</v>
      </c>
      <c r="G288" s="23">
        <v>393143</v>
      </c>
      <c r="H288" s="23">
        <v>450241</v>
      </c>
      <c r="I288" s="23" t="s">
        <v>530</v>
      </c>
      <c r="J288" s="23" t="s">
        <v>530</v>
      </c>
      <c r="K288" s="23">
        <v>160912</v>
      </c>
      <c r="L288" s="23">
        <v>121984</v>
      </c>
      <c r="M288" s="24" t="s">
        <v>206</v>
      </c>
      <c r="N288" s="25">
        <v>141019</v>
      </c>
      <c r="O288" s="23" t="s">
        <v>432</v>
      </c>
      <c r="Q288" s="14"/>
      <c r="R288" s="14"/>
      <c r="S288" s="14"/>
    </row>
    <row r="289" spans="1:19" ht="18.75" hidden="1">
      <c r="A289" s="15"/>
      <c r="B289" s="22" t="str">
        <f t="shared" si="38"/>
        <v>-</v>
      </c>
      <c r="C289" s="22" t="str">
        <f t="shared" si="39"/>
        <v>-</v>
      </c>
      <c r="D289" s="23">
        <v>4200000</v>
      </c>
      <c r="E289" s="23">
        <f t="shared" si="40"/>
        <v>-76035</v>
      </c>
      <c r="F289" s="23">
        <f t="shared" si="41"/>
        <v>-76035</v>
      </c>
      <c r="G289" s="23">
        <v>-76035</v>
      </c>
      <c r="H289" s="23">
        <v>-76035</v>
      </c>
      <c r="I289" s="23"/>
      <c r="J289" s="23"/>
      <c r="K289" s="23"/>
      <c r="L289" s="23"/>
      <c r="M289" s="24" t="s">
        <v>207</v>
      </c>
      <c r="N289" s="25">
        <v>141024</v>
      </c>
      <c r="O289" s="23" t="s">
        <v>433</v>
      </c>
      <c r="Q289" s="14"/>
      <c r="R289" s="14"/>
      <c r="S289" s="14"/>
    </row>
    <row r="290" spans="1:19" ht="18.75">
      <c r="B290" s="22">
        <f t="shared" si="38"/>
        <v>96.903407807488236</v>
      </c>
      <c r="C290" s="22">
        <f t="shared" si="39"/>
        <v>14.053542504595338</v>
      </c>
      <c r="D290" s="23">
        <v>19305000</v>
      </c>
      <c r="E290" s="23">
        <f t="shared" si="40"/>
        <v>1373675</v>
      </c>
      <c r="F290" s="23">
        <f t="shared" si="41"/>
        <v>1511546</v>
      </c>
      <c r="G290" s="23">
        <v>199219</v>
      </c>
      <c r="H290" s="23">
        <v>211762</v>
      </c>
      <c r="I290" s="23">
        <v>-74258</v>
      </c>
      <c r="J290" s="23">
        <v>1100198</v>
      </c>
      <c r="K290" s="23">
        <v>-82778</v>
      </c>
      <c r="L290" s="23">
        <v>1217006</v>
      </c>
      <c r="M290" s="24" t="s">
        <v>208</v>
      </c>
      <c r="N290" s="25">
        <v>141038</v>
      </c>
      <c r="O290" s="23" t="s">
        <v>434</v>
      </c>
      <c r="Q290" s="14"/>
      <c r="R290" s="14"/>
      <c r="S290" s="14"/>
    </row>
    <row r="291" spans="1:19" ht="18.75">
      <c r="B291" s="22" t="str">
        <f t="shared" si="38"/>
        <v>-</v>
      </c>
      <c r="C291" s="22" t="s">
        <v>534</v>
      </c>
      <c r="D291" s="23">
        <v>3270582</v>
      </c>
      <c r="E291" s="23" t="s">
        <v>530</v>
      </c>
      <c r="F291" s="23">
        <f t="shared" si="41"/>
        <v>-441541</v>
      </c>
      <c r="G291" s="23">
        <v>-511359</v>
      </c>
      <c r="H291" s="23">
        <v>-511359</v>
      </c>
      <c r="I291" s="23" t="s">
        <v>530</v>
      </c>
      <c r="J291" s="23" t="s">
        <v>530</v>
      </c>
      <c r="K291" s="23">
        <v>-263375</v>
      </c>
      <c r="L291" s="23">
        <v>-193557</v>
      </c>
      <c r="M291" s="24" t="s">
        <v>209</v>
      </c>
      <c r="N291" s="25">
        <v>141060</v>
      </c>
      <c r="O291" s="23" t="s">
        <v>435</v>
      </c>
      <c r="Q291" s="14"/>
      <c r="R291" s="14"/>
      <c r="S291" s="14"/>
    </row>
    <row r="292" spans="1:19" ht="18.75">
      <c r="B292" s="22" t="str">
        <f t="shared" si="38"/>
        <v>-</v>
      </c>
      <c r="C292" s="22" t="str">
        <f t="shared" si="39"/>
        <v>-</v>
      </c>
      <c r="D292" s="23">
        <v>60750000.000000007</v>
      </c>
      <c r="E292" s="23">
        <f t="shared" si="40"/>
        <v>-34157</v>
      </c>
      <c r="F292" s="23">
        <f t="shared" si="41"/>
        <v>12543</v>
      </c>
      <c r="G292" s="23">
        <v>-212173</v>
      </c>
      <c r="H292" s="23">
        <f>-183363+640</f>
        <v>-182723</v>
      </c>
      <c r="I292" s="23">
        <v>-77901</v>
      </c>
      <c r="J292" s="23">
        <v>100115</v>
      </c>
      <c r="K292" s="23">
        <v>-77901</v>
      </c>
      <c r="L292" s="23">
        <v>117365</v>
      </c>
      <c r="M292" s="24" t="s">
        <v>210</v>
      </c>
      <c r="N292" s="25">
        <v>141065</v>
      </c>
      <c r="O292" s="23" t="s">
        <v>436</v>
      </c>
      <c r="Q292" s="14"/>
      <c r="R292" s="14"/>
      <c r="S292" s="14"/>
    </row>
    <row r="293" spans="1:19" ht="18.75" hidden="1">
      <c r="B293" s="22" t="str">
        <f t="shared" si="38"/>
        <v>-</v>
      </c>
      <c r="C293" s="22" t="str">
        <f t="shared" si="39"/>
        <v>-</v>
      </c>
      <c r="D293" s="23">
        <v>3157042.68</v>
      </c>
      <c r="E293" s="23">
        <f t="shared" si="40"/>
        <v>-1439512</v>
      </c>
      <c r="F293" s="23">
        <f t="shared" si="41"/>
        <v>-1439512</v>
      </c>
      <c r="G293" s="23">
        <v>-1439512</v>
      </c>
      <c r="H293" s="23">
        <v>-1439512</v>
      </c>
      <c r="I293" s="23"/>
      <c r="J293" s="23"/>
      <c r="K293" s="23"/>
      <c r="L293" s="23"/>
      <c r="M293" s="24" t="s">
        <v>211</v>
      </c>
      <c r="N293" s="25">
        <v>141077</v>
      </c>
      <c r="O293" s="23" t="s">
        <v>437</v>
      </c>
      <c r="Q293" s="14"/>
      <c r="R293" s="14"/>
      <c r="S293" s="14"/>
    </row>
    <row r="294" spans="1:19" ht="18.75">
      <c r="B294" s="22">
        <f t="shared" si="38"/>
        <v>14.286843122701759</v>
      </c>
      <c r="C294" s="22">
        <f t="shared" si="39"/>
        <v>10.862591701730933</v>
      </c>
      <c r="D294" s="23">
        <v>20250000</v>
      </c>
      <c r="E294" s="23">
        <f t="shared" si="40"/>
        <v>1864196</v>
      </c>
      <c r="F294" s="23">
        <f t="shared" si="41"/>
        <v>2122739</v>
      </c>
      <c r="G294" s="23">
        <v>1417388</v>
      </c>
      <c r="H294" s="23">
        <f>1631361+20911+94731</f>
        <v>1747003</v>
      </c>
      <c r="I294" s="23">
        <v>894616</v>
      </c>
      <c r="J294" s="23">
        <v>1341424</v>
      </c>
      <c r="K294" s="23">
        <f>980693+8923</f>
        <v>989616</v>
      </c>
      <c r="L294" s="23">
        <f>1353998+11354</f>
        <v>1365352</v>
      </c>
      <c r="M294" s="24" t="s">
        <v>212</v>
      </c>
      <c r="N294" s="25">
        <v>141098</v>
      </c>
      <c r="O294" s="23" t="s">
        <v>438</v>
      </c>
      <c r="Q294" s="14"/>
      <c r="R294" s="14"/>
      <c r="S294" s="14"/>
    </row>
    <row r="295" spans="1:19" ht="18.75">
      <c r="B295" s="22" t="str">
        <f t="shared" si="38"/>
        <v>-</v>
      </c>
      <c r="C295" s="22" t="s">
        <v>534</v>
      </c>
      <c r="D295" s="23">
        <v>6020000</v>
      </c>
      <c r="E295" s="23" t="s">
        <v>530</v>
      </c>
      <c r="F295" s="23">
        <f t="shared" si="41"/>
        <v>-1217640</v>
      </c>
      <c r="G295" s="23">
        <v>-1093049</v>
      </c>
      <c r="H295" s="23">
        <v>-998722</v>
      </c>
      <c r="I295" s="23" t="s">
        <v>530</v>
      </c>
      <c r="J295" s="23" t="s">
        <v>530</v>
      </c>
      <c r="K295" s="23">
        <v>-417108</v>
      </c>
      <c r="L295" s="23">
        <v>-636026</v>
      </c>
      <c r="M295" s="24" t="s">
        <v>213</v>
      </c>
      <c r="N295" s="25">
        <v>141208</v>
      </c>
      <c r="O295" s="23" t="s">
        <v>439</v>
      </c>
      <c r="Q295" s="14"/>
      <c r="R295" s="14"/>
      <c r="S295" s="14"/>
    </row>
    <row r="296" spans="1:19" ht="18.75">
      <c r="B296" s="22" t="str">
        <f t="shared" si="38"/>
        <v>-</v>
      </c>
      <c r="C296" s="22" t="s">
        <v>534</v>
      </c>
      <c r="D296" s="23">
        <v>4205234.88</v>
      </c>
      <c r="E296" s="23" t="s">
        <v>530</v>
      </c>
      <c r="F296" s="23">
        <f t="shared" si="41"/>
        <v>-2149390</v>
      </c>
      <c r="G296" s="23">
        <v>-2190331</v>
      </c>
      <c r="H296" s="23">
        <v>-2190331</v>
      </c>
      <c r="I296" s="23" t="s">
        <v>530</v>
      </c>
      <c r="J296" s="23" t="s">
        <v>530</v>
      </c>
      <c r="K296" s="23">
        <v>-1076406</v>
      </c>
      <c r="L296" s="23">
        <v>-1035465</v>
      </c>
      <c r="M296" s="24" t="s">
        <v>214</v>
      </c>
      <c r="N296" s="25">
        <v>141211</v>
      </c>
      <c r="O296" s="23" t="s">
        <v>440</v>
      </c>
      <c r="Q296" s="14"/>
      <c r="R296" s="14"/>
      <c r="S296" s="14"/>
    </row>
    <row r="297" spans="1:19" ht="18.75">
      <c r="B297" s="22" t="str">
        <f t="shared" si="38"/>
        <v>-</v>
      </c>
      <c r="C297" s="22" t="str">
        <f t="shared" si="39"/>
        <v>-</v>
      </c>
      <c r="D297" s="23">
        <v>5400000</v>
      </c>
      <c r="E297" s="23">
        <f t="shared" si="40"/>
        <v>-517935</v>
      </c>
      <c r="F297" s="23">
        <f t="shared" si="41"/>
        <v>-512527</v>
      </c>
      <c r="G297" s="23">
        <v>-390891</v>
      </c>
      <c r="H297" s="23">
        <v>-370483</v>
      </c>
      <c r="I297" s="23">
        <v>-89525</v>
      </c>
      <c r="J297" s="23">
        <v>-216569</v>
      </c>
      <c r="K297" s="23">
        <v>-74525</v>
      </c>
      <c r="L297" s="23">
        <v>-216569</v>
      </c>
      <c r="M297" s="24" t="s">
        <v>215</v>
      </c>
      <c r="N297" s="25">
        <v>141214</v>
      </c>
      <c r="O297" s="23" t="s">
        <v>441</v>
      </c>
      <c r="Q297" s="14"/>
      <c r="R297" s="14"/>
      <c r="S297" s="14"/>
    </row>
    <row r="298" spans="1:19" s="26" customFormat="1" ht="20.25">
      <c r="B298" s="27" t="str">
        <f t="shared" si="38"/>
        <v>-</v>
      </c>
      <c r="C298" s="27" t="str">
        <f t="shared" si="39"/>
        <v>-</v>
      </c>
      <c r="D298" s="28">
        <f>SUM(D288:D297)</f>
        <v>130311609.56</v>
      </c>
      <c r="E298" s="28">
        <f t="shared" si="40"/>
        <v>-2231364</v>
      </c>
      <c r="F298" s="28">
        <f t="shared" si="41"/>
        <v>-1778504</v>
      </c>
      <c r="G298" s="28">
        <f t="shared" ref="G298:L298" si="43">SUM(G288:G297)</f>
        <v>-3903600</v>
      </c>
      <c r="H298" s="28">
        <f t="shared" si="43"/>
        <v>-3360159</v>
      </c>
      <c r="I298" s="28">
        <f t="shared" si="43"/>
        <v>652932</v>
      </c>
      <c r="J298" s="28">
        <f t="shared" si="43"/>
        <v>2325168</v>
      </c>
      <c r="K298" s="28">
        <f t="shared" si="43"/>
        <v>-841565</v>
      </c>
      <c r="L298" s="28">
        <f t="shared" si="43"/>
        <v>740090</v>
      </c>
      <c r="M298" s="29" t="s">
        <v>557</v>
      </c>
      <c r="N298" s="30"/>
      <c r="O298" s="28"/>
      <c r="P298" s="38"/>
      <c r="Q298" s="38"/>
    </row>
    <row r="299" spans="1:19" s="15" customFormat="1" ht="20.25">
      <c r="A299" s="12"/>
      <c r="B299" s="31"/>
      <c r="C299" s="31"/>
      <c r="D299" s="32"/>
      <c r="E299" s="32"/>
      <c r="F299" s="32"/>
      <c r="G299" s="32"/>
      <c r="H299" s="32"/>
      <c r="I299" s="32"/>
      <c r="J299" s="32"/>
      <c r="K299" s="32"/>
      <c r="L299" s="32"/>
      <c r="M299" s="33"/>
      <c r="N299" s="34"/>
      <c r="O299" s="32"/>
    </row>
    <row r="300" spans="1:19" ht="18.75">
      <c r="B300" s="22">
        <f t="shared" si="38"/>
        <v>11.759594187095143</v>
      </c>
      <c r="C300" s="22">
        <f t="shared" si="39"/>
        <v>12.914111098252905</v>
      </c>
      <c r="D300" s="23">
        <v>15400000</v>
      </c>
      <c r="E300" s="23">
        <f t="shared" si="40"/>
        <v>1192494</v>
      </c>
      <c r="F300" s="23">
        <f t="shared" si="41"/>
        <v>1287393</v>
      </c>
      <c r="G300" s="23">
        <v>1309569</v>
      </c>
      <c r="H300" s="23">
        <v>1404468</v>
      </c>
      <c r="I300" s="23">
        <v>552406</v>
      </c>
      <c r="J300" s="23">
        <v>435331</v>
      </c>
      <c r="K300" s="23">
        <v>552406</v>
      </c>
      <c r="L300" s="23">
        <v>435331</v>
      </c>
      <c r="M300" s="24" t="s">
        <v>216</v>
      </c>
      <c r="N300" s="25">
        <v>141039</v>
      </c>
      <c r="O300" s="23" t="s">
        <v>442</v>
      </c>
      <c r="Q300" s="14"/>
      <c r="R300" s="14"/>
      <c r="S300" s="14"/>
    </row>
    <row r="301" spans="1:19" ht="18.75">
      <c r="B301" s="22" t="str">
        <f t="shared" si="38"/>
        <v>-</v>
      </c>
      <c r="C301" s="22" t="str">
        <f t="shared" si="39"/>
        <v>-</v>
      </c>
      <c r="D301" s="23">
        <v>32400000.000000004</v>
      </c>
      <c r="E301" s="23">
        <f t="shared" si="40"/>
        <v>-5587085</v>
      </c>
      <c r="F301" s="23">
        <f t="shared" si="41"/>
        <v>-4783194</v>
      </c>
      <c r="G301" s="23">
        <v>-2470211</v>
      </c>
      <c r="H301" s="23">
        <v>-127944</v>
      </c>
      <c r="I301" s="23">
        <v>-155520</v>
      </c>
      <c r="J301" s="23">
        <v>-3272394</v>
      </c>
      <c r="K301" s="23">
        <v>1702356</v>
      </c>
      <c r="L301" s="23">
        <v>-2952894</v>
      </c>
      <c r="M301" s="24" t="s">
        <v>217</v>
      </c>
      <c r="N301" s="25">
        <v>141059</v>
      </c>
      <c r="O301" s="23" t="s">
        <v>497</v>
      </c>
      <c r="Q301" s="14"/>
      <c r="R301" s="14"/>
      <c r="S301" s="14"/>
    </row>
    <row r="302" spans="1:19" ht="18.75" hidden="1">
      <c r="B302" s="22" t="str">
        <f t="shared" si="38"/>
        <v>-</v>
      </c>
      <c r="C302" s="22" t="str">
        <f t="shared" si="39"/>
        <v>-</v>
      </c>
      <c r="D302" s="23">
        <v>3600000</v>
      </c>
      <c r="E302" s="23">
        <f t="shared" si="40"/>
        <v>0</v>
      </c>
      <c r="F302" s="23">
        <f t="shared" si="41"/>
        <v>0</v>
      </c>
      <c r="G302" s="23"/>
      <c r="H302" s="23"/>
      <c r="I302" s="23"/>
      <c r="J302" s="23"/>
      <c r="K302" s="23"/>
      <c r="L302" s="23"/>
      <c r="M302" s="24" t="s">
        <v>218</v>
      </c>
      <c r="N302" s="25">
        <v>141063</v>
      </c>
      <c r="O302" s="23" t="s">
        <v>443</v>
      </c>
      <c r="Q302" s="14"/>
      <c r="R302" s="14"/>
      <c r="S302" s="14"/>
    </row>
    <row r="303" spans="1:19" ht="18.75">
      <c r="B303" s="22">
        <f t="shared" si="38"/>
        <v>17.584396608844866</v>
      </c>
      <c r="C303" s="22" t="str">
        <f t="shared" si="39"/>
        <v>-</v>
      </c>
      <c r="D303" s="23">
        <v>4139999.9999999995</v>
      </c>
      <c r="E303" s="23">
        <f t="shared" si="40"/>
        <v>-35980</v>
      </c>
      <c r="F303" s="23">
        <f t="shared" si="41"/>
        <v>-26075</v>
      </c>
      <c r="G303" s="23">
        <v>235436</v>
      </c>
      <c r="H303" s="23">
        <v>254376</v>
      </c>
      <c r="I303" s="23">
        <v>252431</v>
      </c>
      <c r="J303" s="23">
        <v>-18985</v>
      </c>
      <c r="K303" s="23">
        <v>261466</v>
      </c>
      <c r="L303" s="23">
        <v>-18985</v>
      </c>
      <c r="M303" s="24" t="s">
        <v>219</v>
      </c>
      <c r="N303" s="25">
        <v>141072</v>
      </c>
      <c r="O303" s="23" t="s">
        <v>444</v>
      </c>
      <c r="Q303" s="14"/>
      <c r="R303" s="14"/>
      <c r="S303" s="14"/>
    </row>
    <row r="304" spans="1:19" ht="18.75" hidden="1">
      <c r="B304" s="22" t="str">
        <f t="shared" si="38"/>
        <v>-</v>
      </c>
      <c r="C304" s="22" t="str">
        <f t="shared" si="39"/>
        <v>-</v>
      </c>
      <c r="D304" s="23">
        <v>40000000</v>
      </c>
      <c r="E304" s="23">
        <f t="shared" si="40"/>
        <v>-22450792</v>
      </c>
      <c r="F304" s="23">
        <f t="shared" si="41"/>
        <v>-22450792</v>
      </c>
      <c r="G304" s="23">
        <v>-22450792</v>
      </c>
      <c r="H304" s="23">
        <f>-24291526+1840734</f>
        <v>-22450792</v>
      </c>
      <c r="I304" s="23"/>
      <c r="J304" s="23"/>
      <c r="K304" s="23"/>
      <c r="L304" s="23"/>
      <c r="M304" s="24" t="s">
        <v>220</v>
      </c>
      <c r="N304" s="25">
        <v>141097</v>
      </c>
      <c r="O304" s="23" t="s">
        <v>445</v>
      </c>
      <c r="Q304" s="14"/>
      <c r="R304" s="14"/>
      <c r="S304" s="14"/>
    </row>
    <row r="305" spans="1:19" ht="18.75">
      <c r="B305" s="22">
        <f t="shared" si="38"/>
        <v>92.934041144925772</v>
      </c>
      <c r="C305" s="22">
        <f t="shared" si="39"/>
        <v>92.825455762194139</v>
      </c>
      <c r="D305" s="23">
        <v>34400000</v>
      </c>
      <c r="E305" s="23">
        <f t="shared" si="40"/>
        <v>370588</v>
      </c>
      <c r="F305" s="23">
        <f t="shared" si="41"/>
        <v>445969</v>
      </c>
      <c r="G305" s="23">
        <v>370155</v>
      </c>
      <c r="H305" s="23">
        <f>434941+12231</f>
        <v>447172</v>
      </c>
      <c r="I305" s="23">
        <v>5599</v>
      </c>
      <c r="J305" s="23">
        <v>6032</v>
      </c>
      <c r="K305" s="23">
        <v>7465</v>
      </c>
      <c r="L305" s="23">
        <v>6262</v>
      </c>
      <c r="M305" s="24" t="s">
        <v>459</v>
      </c>
      <c r="N305" s="25">
        <v>141215</v>
      </c>
      <c r="O305" s="23" t="s">
        <v>461</v>
      </c>
      <c r="Q305" s="14"/>
      <c r="R305" s="14"/>
      <c r="S305" s="14"/>
    </row>
    <row r="306" spans="1:19" s="26" customFormat="1" ht="20.25">
      <c r="B306" s="27" t="str">
        <f t="shared" si="38"/>
        <v>-</v>
      </c>
      <c r="C306" s="27" t="str">
        <f t="shared" si="39"/>
        <v>-</v>
      </c>
      <c r="D306" s="28">
        <f>SUM(D300:D305)</f>
        <v>129940000</v>
      </c>
      <c r="E306" s="28">
        <f t="shared" si="40"/>
        <v>-26510775</v>
      </c>
      <c r="F306" s="28">
        <f t="shared" si="41"/>
        <v>-25526699</v>
      </c>
      <c r="G306" s="28">
        <f t="shared" ref="G306:L306" si="44">SUM(G300:G305)</f>
        <v>-23005843</v>
      </c>
      <c r="H306" s="28">
        <f t="shared" si="44"/>
        <v>-20472720</v>
      </c>
      <c r="I306" s="28">
        <f t="shared" si="44"/>
        <v>654916</v>
      </c>
      <c r="J306" s="28">
        <f t="shared" si="44"/>
        <v>-2850016</v>
      </c>
      <c r="K306" s="28">
        <f t="shared" si="44"/>
        <v>2523693</v>
      </c>
      <c r="L306" s="28">
        <f t="shared" si="44"/>
        <v>-2530286</v>
      </c>
      <c r="M306" s="29" t="s">
        <v>559</v>
      </c>
      <c r="N306" s="30"/>
      <c r="O306" s="28"/>
      <c r="P306" s="38"/>
      <c r="Q306" s="38"/>
    </row>
    <row r="307" spans="1:19" s="15" customFormat="1" ht="20.25">
      <c r="A307" s="12"/>
      <c r="B307" s="31"/>
      <c r="C307" s="31"/>
      <c r="D307" s="32"/>
      <c r="E307" s="32"/>
      <c r="F307" s="32"/>
      <c r="G307" s="32"/>
      <c r="H307" s="32"/>
      <c r="I307" s="32"/>
      <c r="J307" s="32"/>
      <c r="K307" s="32"/>
      <c r="L307" s="32"/>
      <c r="M307" s="33"/>
      <c r="N307" s="34"/>
      <c r="O307" s="32"/>
    </row>
    <row r="308" spans="1:19" ht="18.75">
      <c r="B308" s="22" t="str">
        <f t="shared" si="38"/>
        <v>-</v>
      </c>
      <c r="C308" s="22" t="s">
        <v>534</v>
      </c>
      <c r="D308" s="23">
        <v>15120000</v>
      </c>
      <c r="E308" s="23" t="s">
        <v>530</v>
      </c>
      <c r="F308" s="23">
        <f t="shared" si="41"/>
        <v>-1006904</v>
      </c>
      <c r="G308" s="23">
        <v>-2553937</v>
      </c>
      <c r="H308" s="23">
        <v>-2553937</v>
      </c>
      <c r="I308" s="23" t="s">
        <v>530</v>
      </c>
      <c r="J308" s="23" t="s">
        <v>530</v>
      </c>
      <c r="K308" s="23">
        <v>-1730230</v>
      </c>
      <c r="L308" s="23">
        <v>-183197</v>
      </c>
      <c r="M308" s="24" t="s">
        <v>221</v>
      </c>
      <c r="N308" s="25">
        <v>131096</v>
      </c>
      <c r="O308" s="23" t="s">
        <v>446</v>
      </c>
      <c r="Q308" s="14"/>
      <c r="R308" s="14"/>
      <c r="S308" s="14"/>
    </row>
    <row r="309" spans="1:19" ht="18.75">
      <c r="B309" s="22" t="str">
        <f t="shared" si="38"/>
        <v>-</v>
      </c>
      <c r="C309" s="22" t="s">
        <v>534</v>
      </c>
      <c r="D309" s="23">
        <v>3270682.8</v>
      </c>
      <c r="E309" s="23" t="s">
        <v>530</v>
      </c>
      <c r="F309" s="23">
        <f t="shared" si="41"/>
        <v>-493139</v>
      </c>
      <c r="G309" s="23">
        <v>-335187</v>
      </c>
      <c r="H309" s="23">
        <f>-329023+395</f>
        <v>-328628</v>
      </c>
      <c r="I309" s="23" t="s">
        <v>530</v>
      </c>
      <c r="J309" s="23" t="s">
        <v>530</v>
      </c>
      <c r="K309" s="23">
        <v>199509</v>
      </c>
      <c r="L309" s="23">
        <v>34998</v>
      </c>
      <c r="M309" s="24" t="s">
        <v>222</v>
      </c>
      <c r="N309" s="25">
        <v>131097</v>
      </c>
      <c r="O309" s="23" t="s">
        <v>447</v>
      </c>
      <c r="Q309" s="14"/>
      <c r="R309" s="14"/>
      <c r="S309" s="14"/>
    </row>
    <row r="310" spans="1:19" ht="18.75">
      <c r="B310" s="22">
        <f t="shared" si="38"/>
        <v>16.030775387554982</v>
      </c>
      <c r="C310" s="22">
        <f t="shared" si="39"/>
        <v>13.462882657670171</v>
      </c>
      <c r="D310" s="23">
        <v>69300000</v>
      </c>
      <c r="E310" s="23">
        <f t="shared" si="40"/>
        <v>5147486</v>
      </c>
      <c r="F310" s="23">
        <f t="shared" si="41"/>
        <v>5974599</v>
      </c>
      <c r="G310" s="23">
        <v>4322935</v>
      </c>
      <c r="H310" s="23">
        <f>5419492-494991+35160+35160+51695</f>
        <v>5046516</v>
      </c>
      <c r="I310" s="23">
        <v>3317298</v>
      </c>
      <c r="J310" s="23">
        <v>4141849</v>
      </c>
      <c r="K310" s="23">
        <f>4087029-342490</f>
        <v>3744539</v>
      </c>
      <c r="L310" s="23">
        <f>5172233-499611</f>
        <v>4672622</v>
      </c>
      <c r="M310" s="24" t="s">
        <v>223</v>
      </c>
      <c r="N310" s="25">
        <v>141014</v>
      </c>
      <c r="O310" s="23" t="s">
        <v>448</v>
      </c>
      <c r="Q310" s="14"/>
      <c r="R310" s="14"/>
      <c r="S310" s="14"/>
    </row>
    <row r="311" spans="1:19" ht="18.75">
      <c r="A311" s="15"/>
      <c r="B311" s="22" t="str">
        <f t="shared" si="38"/>
        <v>-</v>
      </c>
      <c r="C311" s="22" t="s">
        <v>534</v>
      </c>
      <c r="D311" s="23">
        <v>6870000</v>
      </c>
      <c r="E311" s="23" t="s">
        <v>530</v>
      </c>
      <c r="F311" s="23">
        <f t="shared" si="41"/>
        <v>-549284</v>
      </c>
      <c r="G311" s="23">
        <v>-651138</v>
      </c>
      <c r="H311" s="23">
        <v>-651138</v>
      </c>
      <c r="I311" s="23" t="s">
        <v>530</v>
      </c>
      <c r="J311" s="23" t="s">
        <v>530</v>
      </c>
      <c r="K311" s="23">
        <v>-198656</v>
      </c>
      <c r="L311" s="23">
        <v>-96802</v>
      </c>
      <c r="M311" s="24" t="s">
        <v>224</v>
      </c>
      <c r="N311" s="25">
        <v>141020</v>
      </c>
      <c r="O311" s="23" t="s">
        <v>449</v>
      </c>
      <c r="Q311" s="14"/>
      <c r="R311" s="14"/>
      <c r="S311" s="14"/>
    </row>
    <row r="312" spans="1:19" ht="18.75">
      <c r="B312" s="22" t="str">
        <f t="shared" si="38"/>
        <v>-</v>
      </c>
      <c r="C312" s="22" t="s">
        <v>534</v>
      </c>
      <c r="D312" s="23">
        <v>2316000</v>
      </c>
      <c r="E312" s="23" t="s">
        <v>530</v>
      </c>
      <c r="F312" s="23">
        <f t="shared" si="41"/>
        <v>-80089</v>
      </c>
      <c r="G312" s="23">
        <v>-56697</v>
      </c>
      <c r="H312" s="23">
        <v>-56697</v>
      </c>
      <c r="I312" s="23" t="s">
        <v>530</v>
      </c>
      <c r="J312" s="23" t="s">
        <v>530</v>
      </c>
      <c r="K312" s="23">
        <v>-9885</v>
      </c>
      <c r="L312" s="23">
        <v>-33277</v>
      </c>
      <c r="M312" s="24" t="s">
        <v>225</v>
      </c>
      <c r="N312" s="25">
        <v>141031</v>
      </c>
      <c r="O312" s="23" t="s">
        <v>450</v>
      </c>
      <c r="Q312" s="14"/>
      <c r="R312" s="14"/>
      <c r="S312" s="14"/>
    </row>
    <row r="313" spans="1:19" ht="18.75">
      <c r="A313" s="15" t="s">
        <v>462</v>
      </c>
      <c r="B313" s="22" t="str">
        <f t="shared" si="38"/>
        <v>-</v>
      </c>
      <c r="C313" s="22" t="s">
        <v>534</v>
      </c>
      <c r="D313" s="23">
        <v>4500000</v>
      </c>
      <c r="E313" s="23" t="s">
        <v>530</v>
      </c>
      <c r="F313" s="23">
        <f t="shared" si="41"/>
        <v>-1364314</v>
      </c>
      <c r="G313" s="23">
        <f>+H313</f>
        <v>-762020</v>
      </c>
      <c r="H313" s="23">
        <v>-762020</v>
      </c>
      <c r="I313" s="23" t="s">
        <v>530</v>
      </c>
      <c r="J313" s="23" t="s">
        <v>530</v>
      </c>
      <c r="K313" s="23">
        <v>-125146</v>
      </c>
      <c r="L313" s="23">
        <v>-727440</v>
      </c>
      <c r="M313" s="24" t="s">
        <v>226</v>
      </c>
      <c r="N313" s="25">
        <v>141061</v>
      </c>
      <c r="O313" s="23" t="s">
        <v>451</v>
      </c>
      <c r="Q313" s="14"/>
      <c r="R313" s="14"/>
      <c r="S313" s="14"/>
    </row>
    <row r="314" spans="1:19" ht="20.25" hidden="1">
      <c r="A314" s="39"/>
      <c r="B314" s="22" t="str">
        <f t="shared" si="38"/>
        <v>-</v>
      </c>
      <c r="C314" s="22" t="str">
        <f t="shared" si="39"/>
        <v>-</v>
      </c>
      <c r="D314" s="23">
        <v>0</v>
      </c>
      <c r="E314" s="23">
        <f t="shared" si="40"/>
        <v>-218275</v>
      </c>
      <c r="F314" s="23">
        <f t="shared" si="41"/>
        <v>-218275</v>
      </c>
      <c r="G314" s="23">
        <v>-218275</v>
      </c>
      <c r="H314" s="23">
        <v>-218275</v>
      </c>
      <c r="I314" s="23"/>
      <c r="J314" s="23"/>
      <c r="K314" s="23"/>
      <c r="L314" s="23"/>
      <c r="M314" s="24" t="s">
        <v>227</v>
      </c>
      <c r="N314" s="25">
        <v>141107</v>
      </c>
      <c r="O314" s="23" t="s">
        <v>452</v>
      </c>
      <c r="Q314" s="14"/>
      <c r="R314" s="14"/>
      <c r="S314" s="14"/>
    </row>
    <row r="315" spans="1:19" ht="18.75">
      <c r="B315" s="22">
        <f t="shared" si="38"/>
        <v>51.999519398381324</v>
      </c>
      <c r="C315" s="22">
        <f t="shared" si="39"/>
        <v>175.36634294748313</v>
      </c>
      <c r="D315" s="23">
        <v>26400000.000000004</v>
      </c>
      <c r="E315" s="23">
        <f t="shared" si="40"/>
        <v>150542</v>
      </c>
      <c r="F315" s="23">
        <f t="shared" si="41"/>
        <v>305010</v>
      </c>
      <c r="G315" s="23">
        <v>507697</v>
      </c>
      <c r="H315" s="23">
        <f>627071-24487</f>
        <v>602584</v>
      </c>
      <c r="I315" s="23">
        <v>325432</v>
      </c>
      <c r="J315" s="23">
        <v>-31723</v>
      </c>
      <c r="K315" s="23">
        <f>414491-7983</f>
        <v>406508</v>
      </c>
      <c r="L315" s="23">
        <f>123298-14364</f>
        <v>108934</v>
      </c>
      <c r="M315" s="24" t="s">
        <v>496</v>
      </c>
      <c r="N315" s="25">
        <v>141212</v>
      </c>
      <c r="O315" s="23" t="s">
        <v>518</v>
      </c>
      <c r="Q315" s="14"/>
      <c r="R315" s="14"/>
      <c r="S315" s="14"/>
    </row>
    <row r="316" spans="1:19" ht="18.75">
      <c r="B316" s="22" t="str">
        <f t="shared" si="38"/>
        <v>-</v>
      </c>
      <c r="C316" s="22" t="s">
        <v>534</v>
      </c>
      <c r="D316" s="23">
        <v>7392000.0000000009</v>
      </c>
      <c r="E316" s="23" t="s">
        <v>530</v>
      </c>
      <c r="F316" s="23">
        <f t="shared" si="41"/>
        <v>-92635</v>
      </c>
      <c r="G316" s="23">
        <f>+H316</f>
        <v>-101671</v>
      </c>
      <c r="H316" s="23">
        <v>-101671</v>
      </c>
      <c r="I316" s="23" t="s">
        <v>530</v>
      </c>
      <c r="J316" s="23" t="s">
        <v>530</v>
      </c>
      <c r="K316" s="23">
        <v>-179466</v>
      </c>
      <c r="L316" s="23">
        <v>-170430</v>
      </c>
      <c r="M316" s="24" t="s">
        <v>483</v>
      </c>
      <c r="N316" s="25">
        <v>141213</v>
      </c>
      <c r="O316" s="23" t="s">
        <v>519</v>
      </c>
      <c r="Q316" s="14"/>
      <c r="R316" s="14"/>
      <c r="S316" s="14"/>
    </row>
    <row r="317" spans="1:19" s="26" customFormat="1" ht="20.25">
      <c r="B317" s="27">
        <f t="shared" si="38"/>
        <v>890.98514109434643</v>
      </c>
      <c r="C317" s="27">
        <f t="shared" si="39"/>
        <v>218.32987855009588</v>
      </c>
      <c r="D317" s="28">
        <f>SUM(D308:D316)</f>
        <v>135168682.80000001</v>
      </c>
      <c r="E317" s="28">
        <f t="shared" si="40"/>
        <v>619103</v>
      </c>
      <c r="F317" s="28">
        <f t="shared" si="41"/>
        <v>2474969</v>
      </c>
      <c r="G317" s="28">
        <f t="shared" ref="G317:L317" si="45">SUM(G308:G316)</f>
        <v>151707</v>
      </c>
      <c r="H317" s="28">
        <f t="shared" si="45"/>
        <v>976734</v>
      </c>
      <c r="I317" s="28">
        <f t="shared" si="45"/>
        <v>3642730</v>
      </c>
      <c r="J317" s="28">
        <f t="shared" si="45"/>
        <v>4110126</v>
      </c>
      <c r="K317" s="28">
        <f t="shared" si="45"/>
        <v>2107173</v>
      </c>
      <c r="L317" s="28">
        <f t="shared" si="45"/>
        <v>3605408</v>
      </c>
      <c r="M317" s="29" t="s">
        <v>560</v>
      </c>
      <c r="N317" s="30"/>
      <c r="O317" s="28"/>
      <c r="P317" s="38"/>
      <c r="Q317" s="38"/>
    </row>
    <row r="318" spans="1:19" s="15" customFormat="1" ht="20.25">
      <c r="A318" s="12"/>
      <c r="B318" s="31"/>
      <c r="C318" s="31"/>
      <c r="D318" s="32"/>
      <c r="E318" s="32"/>
      <c r="F318" s="32"/>
      <c r="G318" s="32"/>
      <c r="H318" s="32"/>
      <c r="I318" s="32"/>
      <c r="J318" s="32"/>
      <c r="K318" s="32"/>
      <c r="L318" s="32"/>
      <c r="M318" s="33"/>
      <c r="N318" s="34"/>
      <c r="O318" s="32"/>
    </row>
    <row r="319" spans="1:19" ht="18.75">
      <c r="B319" s="22" t="str">
        <f t="shared" si="38"/>
        <v>-</v>
      </c>
      <c r="C319" s="22" t="s">
        <v>534</v>
      </c>
      <c r="D319" s="23">
        <v>2925000</v>
      </c>
      <c r="E319" s="23" t="s">
        <v>530</v>
      </c>
      <c r="F319" s="23">
        <f t="shared" si="41"/>
        <v>-1496559</v>
      </c>
      <c r="G319" s="23">
        <v>-1299392</v>
      </c>
      <c r="H319" s="23">
        <v>-1299392</v>
      </c>
      <c r="I319" s="23" t="s">
        <v>530</v>
      </c>
      <c r="J319" s="23" t="s">
        <v>530</v>
      </c>
      <c r="K319" s="23">
        <v>-467715</v>
      </c>
      <c r="L319" s="23">
        <v>-664882</v>
      </c>
      <c r="M319" s="24" t="s">
        <v>228</v>
      </c>
      <c r="N319" s="25">
        <v>141015</v>
      </c>
      <c r="O319" s="23" t="s">
        <v>453</v>
      </c>
      <c r="Q319" s="14"/>
      <c r="R319" s="14"/>
      <c r="S319" s="14"/>
    </row>
    <row r="320" spans="1:19" ht="18.75">
      <c r="B320" s="22" t="str">
        <f t="shared" si="38"/>
        <v>-</v>
      </c>
      <c r="C320" s="22" t="str">
        <f t="shared" si="39"/>
        <v>-</v>
      </c>
      <c r="D320" s="23">
        <v>2820000</v>
      </c>
      <c r="E320" s="23">
        <f t="shared" si="40"/>
        <v>-628569</v>
      </c>
      <c r="F320" s="23">
        <f t="shared" si="41"/>
        <v>-624155</v>
      </c>
      <c r="G320" s="23">
        <v>-466312</v>
      </c>
      <c r="H320" s="23">
        <v>-462776</v>
      </c>
      <c r="I320" s="23">
        <v>-331110</v>
      </c>
      <c r="J320" s="23">
        <v>-493367</v>
      </c>
      <c r="K320" s="23">
        <f>-331110+1013</f>
        <v>-330097</v>
      </c>
      <c r="L320" s="23">
        <f>-493367+1891</f>
        <v>-491476</v>
      </c>
      <c r="M320" s="24" t="s">
        <v>229</v>
      </c>
      <c r="N320" s="25">
        <v>141078</v>
      </c>
      <c r="O320" s="23" t="s">
        <v>454</v>
      </c>
      <c r="Q320" s="14"/>
      <c r="R320" s="14"/>
      <c r="S320" s="14"/>
    </row>
    <row r="321" spans="1:19" s="38" customFormat="1" ht="20.25">
      <c r="A321" s="26"/>
      <c r="B321" s="27" t="str">
        <f>+IF(G321&gt;0,+D321/G321,"-")</f>
        <v>-</v>
      </c>
      <c r="C321" s="27" t="str">
        <f>+IF(E321&gt;0,+D321/E321,"-")</f>
        <v>-</v>
      </c>
      <c r="D321" s="28">
        <f>SUM(D319:D320)</f>
        <v>5745000</v>
      </c>
      <c r="E321" s="28">
        <f>+G321-I321+J321</f>
        <v>-1927961</v>
      </c>
      <c r="F321" s="28">
        <f>+H321-K321+L321</f>
        <v>-2120714</v>
      </c>
      <c r="G321" s="28">
        <f t="shared" ref="G321:L321" si="46">SUM(G319:G320)</f>
        <v>-1765704</v>
      </c>
      <c r="H321" s="28">
        <f t="shared" si="46"/>
        <v>-1762168</v>
      </c>
      <c r="I321" s="28">
        <f t="shared" si="46"/>
        <v>-331110</v>
      </c>
      <c r="J321" s="28">
        <f t="shared" si="46"/>
        <v>-493367</v>
      </c>
      <c r="K321" s="28">
        <f t="shared" si="46"/>
        <v>-797812</v>
      </c>
      <c r="L321" s="28">
        <f t="shared" si="46"/>
        <v>-1156358</v>
      </c>
      <c r="M321" s="29" t="s">
        <v>561</v>
      </c>
      <c r="N321" s="30"/>
      <c r="O321" s="28"/>
      <c r="Q321" s="40"/>
      <c r="R321" s="40"/>
      <c r="S321" s="41"/>
    </row>
    <row r="322" spans="1:19" s="38" customFormat="1" ht="20.25">
      <c r="A322" s="26"/>
      <c r="B322" s="27">
        <f>+IF(G322&gt;0,+D322/G322,"-")</f>
        <v>19.367862159453171</v>
      </c>
      <c r="C322" s="27">
        <f>+IF(E322&gt;0,+D322/E322,"-")</f>
        <v>24.374381834312086</v>
      </c>
      <c r="D322" s="28">
        <f>D321+D317+D306+D298+D286+D269+D265+D249+D245+D240+D227</f>
        <v>5280099197.3900003</v>
      </c>
      <c r="E322" s="28">
        <f>+G322-I322+J322</f>
        <v>216624948</v>
      </c>
      <c r="F322" s="28">
        <f>+H322-K322+L322</f>
        <v>238358851</v>
      </c>
      <c r="G322" s="28">
        <f t="shared" ref="G322:L322" si="47">G321+G317+G306+G298+G286+G269+G265+G249+G245+G240+G227</f>
        <v>272621684</v>
      </c>
      <c r="H322" s="28">
        <f t="shared" si="47"/>
        <v>304385704</v>
      </c>
      <c r="I322" s="28">
        <f t="shared" si="47"/>
        <v>128241075</v>
      </c>
      <c r="J322" s="28">
        <f t="shared" si="47"/>
        <v>72244339</v>
      </c>
      <c r="K322" s="28">
        <f t="shared" si="47"/>
        <v>140159299</v>
      </c>
      <c r="L322" s="28">
        <f t="shared" si="47"/>
        <v>74132446</v>
      </c>
      <c r="M322" s="29" t="s">
        <v>562</v>
      </c>
      <c r="N322" s="30"/>
      <c r="O322" s="28"/>
      <c r="Q322" s="40"/>
      <c r="R322" s="40"/>
      <c r="S322" s="41"/>
    </row>
    <row r="323" spans="1:19" s="26" customFormat="1" ht="20.25">
      <c r="B323" s="47"/>
      <c r="C323" s="47"/>
      <c r="D323" s="48"/>
      <c r="E323" s="48"/>
      <c r="F323" s="48"/>
      <c r="G323" s="48"/>
      <c r="H323" s="48"/>
      <c r="I323" s="48"/>
      <c r="J323" s="48"/>
      <c r="K323" s="48"/>
      <c r="L323" s="48"/>
      <c r="M323" s="33"/>
      <c r="N323" s="49"/>
      <c r="O323" s="48"/>
      <c r="Q323" s="50"/>
      <c r="R323" s="50"/>
      <c r="S323" s="51"/>
    </row>
    <row r="324" spans="1:19" s="38" customFormat="1" ht="20.25">
      <c r="A324" s="26"/>
      <c r="B324" s="27">
        <f>+IF(G324&gt;0,+D324/G324,"-")</f>
        <v>25.759165142727813</v>
      </c>
      <c r="C324" s="27">
        <f>+IF(E324&gt;0,+D324/E324,"-")</f>
        <v>27.885034993121874</v>
      </c>
      <c r="D324" s="28">
        <f>D322+D218+D133</f>
        <v>20702153842.119999</v>
      </c>
      <c r="E324" s="28">
        <f>+G324-I324+J324</f>
        <v>742410897</v>
      </c>
      <c r="F324" s="28">
        <f>+H324-K324+L324</f>
        <v>1017372486.04</v>
      </c>
      <c r="G324" s="28">
        <f t="shared" ref="G324:L324" si="48">G322+G218+G133</f>
        <v>803681087</v>
      </c>
      <c r="H324" s="28">
        <f t="shared" si="48"/>
        <v>1118721397</v>
      </c>
      <c r="I324" s="28">
        <f t="shared" si="48"/>
        <v>537354119</v>
      </c>
      <c r="J324" s="28">
        <f t="shared" si="48"/>
        <v>476083929</v>
      </c>
      <c r="K324" s="28">
        <f t="shared" si="48"/>
        <v>699361933</v>
      </c>
      <c r="L324" s="28">
        <f t="shared" si="48"/>
        <v>598013022.03999996</v>
      </c>
      <c r="M324" s="29" t="s">
        <v>563</v>
      </c>
      <c r="N324" s="30"/>
      <c r="O324" s="28"/>
      <c r="Q324" s="40"/>
      <c r="R324" s="40"/>
      <c r="S324" s="41"/>
    </row>
    <row r="326" spans="1:19" s="38" customFormat="1" ht="20.25">
      <c r="A326" s="26"/>
      <c r="B326" s="52"/>
      <c r="C326" s="47"/>
      <c r="D326" s="48"/>
      <c r="E326" s="48"/>
      <c r="F326" s="48"/>
      <c r="G326" s="48"/>
      <c r="H326" s="48"/>
      <c r="I326" s="48"/>
      <c r="J326" s="53"/>
      <c r="K326" s="48"/>
      <c r="L326" s="54">
        <f>+(L324-K324)/K324</f>
        <v>-0.1449162531984709</v>
      </c>
      <c r="M326" s="29" t="s">
        <v>567</v>
      </c>
      <c r="N326" s="30"/>
      <c r="O326" s="28"/>
      <c r="Q326" s="40"/>
      <c r="R326" s="40"/>
      <c r="S326" s="41"/>
    </row>
  </sheetData>
  <mergeCells count="4">
    <mergeCell ref="I3:J3"/>
    <mergeCell ref="E4:F4"/>
    <mergeCell ref="K3:L3"/>
    <mergeCell ref="B1:M1"/>
  </mergeCells>
  <phoneticPr fontId="0" type="noConversion"/>
  <printOptions horizontalCentered="1"/>
  <pageMargins left="0.19685039370078741" right="0.19685039370078741" top="0.55118110236220474" bottom="0.35433070866141736" header="0.37" footer="0.27559055118110237"/>
  <pageSetup paperSize="9" scale="61" orientation="landscape" r:id="rId1"/>
  <headerFooter alignWithMargins="0">
    <oddHeader>&amp;C&amp;"Arial,Bold"&amp;18البيانات المالية النصف السنوية للشركات المساهمة العامة للعامين 2010 و 2009</oddHeader>
  </headerFooter>
  <rowBreaks count="6" manualBreakCount="6">
    <brk id="50" min="1" max="12" man="1"/>
    <brk id="90" min="1" max="12" man="1"/>
    <brk id="133" min="1" max="12" man="1"/>
    <brk id="227" min="1" max="12" man="1"/>
    <brk id="265" min="1" max="12" man="1"/>
    <brk id="306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Amman Stock Exchange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Abed Al-Aziz</dc:creator>
  <cp:lastModifiedBy>abedibda7</cp:lastModifiedBy>
  <cp:lastPrinted>2010-08-03T09:49:34Z</cp:lastPrinted>
  <dcterms:created xsi:type="dcterms:W3CDTF">2009-01-28T09:12:04Z</dcterms:created>
  <dcterms:modified xsi:type="dcterms:W3CDTF">2010-09-06T09:35:40Z</dcterms:modified>
</cp:coreProperties>
</file>